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nlea\Documents\Unleashed Europe\"/>
    </mc:Choice>
  </mc:AlternateContent>
  <xr:revisionPtr revIDLastSave="0" documentId="13_ncr:1_{FD091F47-7076-44F7-98E1-69663439F980}" xr6:coauthVersionLast="47" xr6:coauthVersionMax="47" xr10:uidLastSave="{00000000-0000-0000-0000-000000000000}"/>
  <bookViews>
    <workbookView xWindow="-98" yWindow="-98" windowWidth="20715" windowHeight="13276" xr2:uid="{06EDCEEA-A24B-4FBA-96F5-FC0CF9EF6C99}"/>
  </bookViews>
  <sheets>
    <sheet name="LOAVES" sheetId="6" r:id="rId1"/>
    <sheet name="ROUGHLINE" sheetId="7" r:id="rId2"/>
    <sheet name="TOTALS" sheetId="2" r:id="rId3"/>
    <sheet name="SMOOTHLINE" sheetId="8" r:id="rId4"/>
    <sheet name="ECLIPSE" sheetId="3" r:id="rId5"/>
    <sheet name="FIBERGLASS" sheetId="9" r:id="rId6"/>
    <sheet name="DRIFTS" sheetId="5" r:id="rId7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4" i="3" l="1"/>
  <c r="T23" i="8"/>
  <c r="W23" i="8" s="1"/>
  <c r="W7" i="6"/>
  <c r="U7" i="6"/>
  <c r="T8" i="6"/>
  <c r="V8" i="6" s="1"/>
  <c r="T7" i="6"/>
  <c r="V7" i="6" s="1"/>
  <c r="T29" i="7"/>
  <c r="W29" i="7" s="1"/>
  <c r="T12" i="8"/>
  <c r="W12" i="8" s="1"/>
  <c r="T30" i="8"/>
  <c r="W30" i="8" s="1"/>
  <c r="T29" i="8"/>
  <c r="W29" i="8" s="1"/>
  <c r="T26" i="8"/>
  <c r="U26" i="8" s="1"/>
  <c r="T25" i="8"/>
  <c r="V25" i="8" s="1"/>
  <c r="T22" i="8"/>
  <c r="W22" i="8" s="1"/>
  <c r="V12" i="3"/>
  <c r="T14" i="3"/>
  <c r="W14" i="3" s="1"/>
  <c r="T13" i="3"/>
  <c r="V13" i="3" s="1"/>
  <c r="T12" i="3"/>
  <c r="W12" i="3"/>
  <c r="T11" i="3"/>
  <c r="W11" i="3" s="1"/>
  <c r="U14" i="3"/>
  <c r="U13" i="3"/>
  <c r="U12" i="3"/>
  <c r="U11" i="3"/>
  <c r="U29" i="9"/>
  <c r="U27" i="9"/>
  <c r="U26" i="9"/>
  <c r="U24" i="9"/>
  <c r="U22" i="9"/>
  <c r="U21" i="9"/>
  <c r="U19" i="9"/>
  <c r="U17" i="9"/>
  <c r="U16" i="9"/>
  <c r="U13" i="9"/>
  <c r="U12" i="9"/>
  <c r="U11" i="9"/>
  <c r="U8" i="9"/>
  <c r="U7" i="9"/>
  <c r="S31" i="9"/>
  <c r="S29" i="9"/>
  <c r="S19" i="9"/>
  <c r="S12" i="9"/>
  <c r="S11" i="9"/>
  <c r="T29" i="9"/>
  <c r="T24" i="9"/>
  <c r="T19" i="9"/>
  <c r="T13" i="9"/>
  <c r="T8" i="9"/>
  <c r="S22" i="9"/>
  <c r="S17" i="9"/>
  <c r="R36" i="9"/>
  <c r="U36" i="9" s="1"/>
  <c r="R35" i="9"/>
  <c r="U35" i="9" s="1"/>
  <c r="R34" i="9"/>
  <c r="S34" i="9" s="1"/>
  <c r="R32" i="9"/>
  <c r="S32" i="9" s="1"/>
  <c r="R31" i="9"/>
  <c r="U31" i="9" s="1"/>
  <c r="R30" i="9"/>
  <c r="T30" i="9" s="1"/>
  <c r="R29" i="9"/>
  <c r="R27" i="9"/>
  <c r="T27" i="9" s="1"/>
  <c r="R26" i="9"/>
  <c r="T26" i="9" s="1"/>
  <c r="R25" i="9"/>
  <c r="U25" i="9" s="1"/>
  <c r="R24" i="9"/>
  <c r="S24" i="9" s="1"/>
  <c r="R22" i="9"/>
  <c r="T22" i="9" s="1"/>
  <c r="R21" i="9"/>
  <c r="S21" i="9" s="1"/>
  <c r="R20" i="9"/>
  <c r="U20" i="9" s="1"/>
  <c r="R19" i="9"/>
  <c r="R17" i="9"/>
  <c r="T17" i="9" s="1"/>
  <c r="R16" i="9"/>
  <c r="S16" i="9" s="1"/>
  <c r="R15" i="9"/>
  <c r="U15" i="9" s="1"/>
  <c r="R13" i="9"/>
  <c r="S13" i="9" s="1"/>
  <c r="R12" i="9"/>
  <c r="T12" i="9" s="1"/>
  <c r="R11" i="9"/>
  <c r="T11" i="9" s="1"/>
  <c r="R9" i="9"/>
  <c r="U9" i="9" s="1"/>
  <c r="R8" i="9"/>
  <c r="S8" i="9" s="1"/>
  <c r="R7" i="9"/>
  <c r="T7" i="9" s="1"/>
  <c r="V9" i="7"/>
  <c r="T24" i="8"/>
  <c r="W24" i="8" s="1"/>
  <c r="T21" i="8"/>
  <c r="U21" i="8" s="1"/>
  <c r="T9" i="8"/>
  <c r="V9" i="8" s="1"/>
  <c r="T8" i="8"/>
  <c r="U8" i="8" s="1"/>
  <c r="T7" i="8"/>
  <c r="W7" i="8" s="1"/>
  <c r="W27" i="7"/>
  <c r="W21" i="7"/>
  <c r="W15" i="7"/>
  <c r="V14" i="7"/>
  <c r="U28" i="7"/>
  <c r="T27" i="7"/>
  <c r="U27" i="7" s="1"/>
  <c r="T26" i="7"/>
  <c r="W26" i="7" s="1"/>
  <c r="T25" i="7"/>
  <c r="V25" i="7" s="1"/>
  <c r="T23" i="7"/>
  <c r="U23" i="7" s="1"/>
  <c r="T21" i="7"/>
  <c r="U21" i="7" s="1"/>
  <c r="T19" i="7"/>
  <c r="W19" i="7" s="1"/>
  <c r="T18" i="7"/>
  <c r="W18" i="7" s="1"/>
  <c r="T16" i="7"/>
  <c r="U16" i="7" s="1"/>
  <c r="T15" i="7"/>
  <c r="U15" i="7" s="1"/>
  <c r="T14" i="7"/>
  <c r="W14" i="7" s="1"/>
  <c r="T13" i="7"/>
  <c r="W13" i="7" s="1"/>
  <c r="T11" i="7"/>
  <c r="V11" i="7" s="1"/>
  <c r="T10" i="7"/>
  <c r="U10" i="7" s="1"/>
  <c r="T9" i="7"/>
  <c r="W9" i="7" s="1"/>
  <c r="T7" i="7"/>
  <c r="W7" i="7" s="1"/>
  <c r="T6" i="7"/>
  <c r="V6" i="7" s="1"/>
  <c r="T28" i="7"/>
  <c r="V28" i="7" s="1"/>
  <c r="L31" i="8"/>
  <c r="P31" i="8"/>
  <c r="V29" i="7" l="1"/>
  <c r="U8" i="6"/>
  <c r="W8" i="6"/>
  <c r="U23" i="8"/>
  <c r="V23" i="8"/>
  <c r="S25" i="9"/>
  <c r="T9" i="9"/>
  <c r="T15" i="9"/>
  <c r="T20" i="9"/>
  <c r="T25" i="9"/>
  <c r="T31" i="9"/>
  <c r="S20" i="9"/>
  <c r="S26" i="9"/>
  <c r="V26" i="7"/>
  <c r="S9" i="9"/>
  <c r="S27" i="9"/>
  <c r="T16" i="9"/>
  <c r="T21" i="9"/>
  <c r="S7" i="9"/>
  <c r="S15" i="9"/>
  <c r="W10" i="7"/>
  <c r="S30" i="9"/>
  <c r="U30" i="9"/>
  <c r="U29" i="7"/>
  <c r="U7" i="7"/>
  <c r="U13" i="7"/>
  <c r="U18" i="7"/>
  <c r="U25" i="7"/>
  <c r="V7" i="7"/>
  <c r="V15" i="7"/>
  <c r="V27" i="7"/>
  <c r="W11" i="7"/>
  <c r="W16" i="7"/>
  <c r="W23" i="7"/>
  <c r="W28" i="7"/>
  <c r="V13" i="7"/>
  <c r="U6" i="7"/>
  <c r="U9" i="7"/>
  <c r="U14" i="7"/>
  <c r="U19" i="7"/>
  <c r="U26" i="7"/>
  <c r="V10" i="7"/>
  <c r="V18" i="7"/>
  <c r="W25" i="7"/>
  <c r="W6" i="7"/>
  <c r="U11" i="7"/>
  <c r="V19" i="7"/>
  <c r="W13" i="3"/>
  <c r="V11" i="3"/>
  <c r="W25" i="8"/>
  <c r="V29" i="8"/>
  <c r="U29" i="8"/>
  <c r="W26" i="8"/>
  <c r="V26" i="8"/>
  <c r="U22" i="8"/>
  <c r="U12" i="8"/>
  <c r="U7" i="8"/>
  <c r="U25" i="8"/>
  <c r="V22" i="8"/>
  <c r="V30" i="8"/>
  <c r="V12" i="8"/>
  <c r="V21" i="8"/>
  <c r="U30" i="8"/>
  <c r="U9" i="8"/>
  <c r="V7" i="8"/>
  <c r="W9" i="8"/>
  <c r="W21" i="8"/>
  <c r="U24" i="8"/>
  <c r="W8" i="8"/>
  <c r="V8" i="8"/>
  <c r="V24" i="8"/>
  <c r="T35" i="9"/>
  <c r="S35" i="9"/>
  <c r="S36" i="9"/>
  <c r="T36" i="9"/>
  <c r="U32" i="9"/>
  <c r="U34" i="9"/>
  <c r="T34" i="9"/>
  <c r="R37" i="9"/>
  <c r="Q19" i="2" s="1"/>
  <c r="T32" i="9"/>
  <c r="S30" i="7"/>
  <c r="P13" i="2" s="1"/>
  <c r="R30" i="7"/>
  <c r="O13" i="2" s="1"/>
  <c r="Q30" i="7"/>
  <c r="N13" i="2" s="1"/>
  <c r="P30" i="7"/>
  <c r="M13" i="2" s="1"/>
  <c r="O30" i="7"/>
  <c r="L13" i="2" s="1"/>
  <c r="N30" i="7"/>
  <c r="K13" i="2" s="1"/>
  <c r="M30" i="7"/>
  <c r="J13" i="2" s="1"/>
  <c r="L30" i="7"/>
  <c r="I13" i="2" s="1"/>
  <c r="K30" i="7"/>
  <c r="H13" i="2" s="1"/>
  <c r="J30" i="7"/>
  <c r="G13" i="2" s="1"/>
  <c r="I30" i="7"/>
  <c r="F13" i="2" s="1"/>
  <c r="H30" i="7"/>
  <c r="E13" i="2" s="1"/>
  <c r="G30" i="7"/>
  <c r="D13" i="2" s="1"/>
  <c r="T24" i="7"/>
  <c r="W24" i="7" s="1"/>
  <c r="T22" i="7"/>
  <c r="W22" i="7" s="1"/>
  <c r="T20" i="7"/>
  <c r="W20" i="7" s="1"/>
  <c r="T17" i="7"/>
  <c r="W17" i="7" s="1"/>
  <c r="T12" i="7"/>
  <c r="W12" i="7" s="1"/>
  <c r="T8" i="7"/>
  <c r="W8" i="7" s="1"/>
  <c r="S28" i="5"/>
  <c r="P9" i="2" s="1"/>
  <c r="R28" i="5"/>
  <c r="O9" i="2" s="1"/>
  <c r="Q28" i="5"/>
  <c r="N9" i="2" s="1"/>
  <c r="P28" i="5"/>
  <c r="M9" i="2" s="1"/>
  <c r="O28" i="5"/>
  <c r="L9" i="2" s="1"/>
  <c r="N28" i="5"/>
  <c r="K9" i="2" s="1"/>
  <c r="M28" i="5"/>
  <c r="J9" i="2" s="1"/>
  <c r="L28" i="5"/>
  <c r="I9" i="2" s="1"/>
  <c r="K28" i="5"/>
  <c r="H9" i="2" s="1"/>
  <c r="J28" i="5"/>
  <c r="G9" i="2" s="1"/>
  <c r="I28" i="5"/>
  <c r="F9" i="2" s="1"/>
  <c r="H28" i="5"/>
  <c r="E9" i="2" s="1"/>
  <c r="G28" i="5"/>
  <c r="D9" i="2" s="1"/>
  <c r="T27" i="5"/>
  <c r="T26" i="5"/>
  <c r="V26" i="5" s="1"/>
  <c r="T25" i="5"/>
  <c r="U25" i="5" s="1"/>
  <c r="T24" i="5"/>
  <c r="U24" i="5" s="1"/>
  <c r="T23" i="5"/>
  <c r="W23" i="5" s="1"/>
  <c r="T22" i="5"/>
  <c r="W22" i="5" s="1"/>
  <c r="T21" i="5"/>
  <c r="W21" i="5" s="1"/>
  <c r="T20" i="5"/>
  <c r="W20" i="5" s="1"/>
  <c r="T19" i="5"/>
  <c r="W19" i="5" s="1"/>
  <c r="T18" i="5"/>
  <c r="W18" i="5" s="1"/>
  <c r="T17" i="5"/>
  <c r="W17" i="5" s="1"/>
  <c r="T16" i="5"/>
  <c r="W16" i="5" s="1"/>
  <c r="T15" i="5"/>
  <c r="W15" i="5" s="1"/>
  <c r="T14" i="5"/>
  <c r="W14" i="5" s="1"/>
  <c r="T13" i="5"/>
  <c r="T12" i="5"/>
  <c r="T11" i="5"/>
  <c r="U11" i="5" s="1"/>
  <c r="T10" i="5"/>
  <c r="U10" i="5" s="1"/>
  <c r="T9" i="5"/>
  <c r="U9" i="5" s="1"/>
  <c r="T8" i="5"/>
  <c r="U8" i="5" s="1"/>
  <c r="T7" i="5"/>
  <c r="U7" i="5" s="1"/>
  <c r="T6" i="5"/>
  <c r="U6" i="5" s="1"/>
  <c r="T5" i="5"/>
  <c r="U5" i="5" s="1"/>
  <c r="S35" i="3"/>
  <c r="P7" i="2" s="1"/>
  <c r="R35" i="3"/>
  <c r="O7" i="2" s="1"/>
  <c r="Q35" i="3"/>
  <c r="N7" i="2" s="1"/>
  <c r="P35" i="3"/>
  <c r="M7" i="2" s="1"/>
  <c r="O35" i="3"/>
  <c r="L7" i="2" s="1"/>
  <c r="N35" i="3"/>
  <c r="K7" i="2" s="1"/>
  <c r="M35" i="3"/>
  <c r="J7" i="2" s="1"/>
  <c r="L35" i="3"/>
  <c r="I7" i="2" s="1"/>
  <c r="K35" i="3"/>
  <c r="H7" i="2" s="1"/>
  <c r="J35" i="3"/>
  <c r="G7" i="2" s="1"/>
  <c r="I35" i="3"/>
  <c r="F7" i="2" s="1"/>
  <c r="H35" i="3"/>
  <c r="E7" i="2" s="1"/>
  <c r="G35" i="3"/>
  <c r="D7" i="2" s="1"/>
  <c r="T34" i="3"/>
  <c r="W34" i="3" s="1"/>
  <c r="T33" i="3"/>
  <c r="T32" i="3"/>
  <c r="T31" i="3"/>
  <c r="V31" i="3" s="1"/>
  <c r="T30" i="3"/>
  <c r="V30" i="3" s="1"/>
  <c r="T29" i="3"/>
  <c r="V29" i="3" s="1"/>
  <c r="T28" i="3"/>
  <c r="V28" i="3" s="1"/>
  <c r="T27" i="3"/>
  <c r="V27" i="3" s="1"/>
  <c r="T26" i="3"/>
  <c r="V26" i="3" s="1"/>
  <c r="T25" i="3"/>
  <c r="V25" i="3" s="1"/>
  <c r="S21" i="6"/>
  <c r="P11" i="2" s="1"/>
  <c r="R21" i="6"/>
  <c r="O11" i="2" s="1"/>
  <c r="Q21" i="6"/>
  <c r="N11" i="2" s="1"/>
  <c r="P21" i="6"/>
  <c r="M11" i="2" s="1"/>
  <c r="O21" i="6"/>
  <c r="L11" i="2" s="1"/>
  <c r="N21" i="6"/>
  <c r="K11" i="2" s="1"/>
  <c r="M21" i="6"/>
  <c r="J11" i="2" s="1"/>
  <c r="L21" i="6"/>
  <c r="I11" i="2" s="1"/>
  <c r="K21" i="6"/>
  <c r="H11" i="2" s="1"/>
  <c r="J21" i="6"/>
  <c r="G11" i="2" s="1"/>
  <c r="I21" i="6"/>
  <c r="F11" i="2" s="1"/>
  <c r="H21" i="6"/>
  <c r="E11" i="2" s="1"/>
  <c r="G21" i="6"/>
  <c r="D11" i="2" s="1"/>
  <c r="T20" i="6"/>
  <c r="T19" i="6"/>
  <c r="W19" i="6" s="1"/>
  <c r="T18" i="6"/>
  <c r="W18" i="6" s="1"/>
  <c r="T17" i="6"/>
  <c r="W17" i="6" s="1"/>
  <c r="T16" i="6"/>
  <c r="W16" i="6" s="1"/>
  <c r="T15" i="6"/>
  <c r="W15" i="6" s="1"/>
  <c r="T14" i="6"/>
  <c r="W14" i="6" s="1"/>
  <c r="T13" i="6"/>
  <c r="W13" i="6" s="1"/>
  <c r="T12" i="6"/>
  <c r="W12" i="6" s="1"/>
  <c r="T11" i="6"/>
  <c r="W11" i="6" s="1"/>
  <c r="T10" i="6"/>
  <c r="W10" i="6" s="1"/>
  <c r="T9" i="6"/>
  <c r="W9" i="6" s="1"/>
  <c r="T6" i="6"/>
  <c r="W6" i="6" s="1"/>
  <c r="S20" i="3"/>
  <c r="P5" i="2" s="1"/>
  <c r="R20" i="3"/>
  <c r="O5" i="2" s="1"/>
  <c r="Q20" i="3"/>
  <c r="N5" i="2" s="1"/>
  <c r="P20" i="3"/>
  <c r="M5" i="2" s="1"/>
  <c r="O20" i="3"/>
  <c r="L5" i="2" s="1"/>
  <c r="N20" i="3"/>
  <c r="K5" i="2" s="1"/>
  <c r="M20" i="3"/>
  <c r="J5" i="2" s="1"/>
  <c r="L20" i="3"/>
  <c r="I5" i="2" s="1"/>
  <c r="K20" i="3"/>
  <c r="H5" i="2" s="1"/>
  <c r="J20" i="3"/>
  <c r="G5" i="2" s="1"/>
  <c r="I20" i="3"/>
  <c r="F5" i="2" s="1"/>
  <c r="H20" i="3"/>
  <c r="E5" i="2" s="1"/>
  <c r="U19" i="3"/>
  <c r="T19" i="3"/>
  <c r="W19" i="3" s="1"/>
  <c r="U18" i="3"/>
  <c r="T18" i="3"/>
  <c r="W18" i="3" s="1"/>
  <c r="U17" i="3"/>
  <c r="T17" i="3"/>
  <c r="W17" i="3" s="1"/>
  <c r="U16" i="3"/>
  <c r="T16" i="3"/>
  <c r="W16" i="3" s="1"/>
  <c r="U15" i="3"/>
  <c r="T15" i="3"/>
  <c r="W15" i="3" s="1"/>
  <c r="U10" i="3"/>
  <c r="T10" i="3"/>
  <c r="W10" i="3" s="1"/>
  <c r="U9" i="3"/>
  <c r="T9" i="3"/>
  <c r="W9" i="3" s="1"/>
  <c r="U8" i="3"/>
  <c r="T8" i="3"/>
  <c r="W8" i="3" s="1"/>
  <c r="U7" i="3"/>
  <c r="T7" i="3"/>
  <c r="W7" i="3" s="1"/>
  <c r="T6" i="3"/>
  <c r="W6" i="3" s="1"/>
  <c r="T31" i="8"/>
  <c r="Q17" i="2" s="1"/>
  <c r="S31" i="8"/>
  <c r="P17" i="2" s="1"/>
  <c r="R31" i="8"/>
  <c r="O17" i="2" s="1"/>
  <c r="Q31" i="8"/>
  <c r="N17" i="2" s="1"/>
  <c r="M17" i="2"/>
  <c r="O31" i="8"/>
  <c r="L17" i="2" s="1"/>
  <c r="N31" i="8"/>
  <c r="K17" i="2" s="1"/>
  <c r="M31" i="8"/>
  <c r="J17" i="2" s="1"/>
  <c r="I17" i="2"/>
  <c r="K31" i="8"/>
  <c r="H17" i="2" s="1"/>
  <c r="J31" i="8"/>
  <c r="G17" i="2" s="1"/>
  <c r="I31" i="8"/>
  <c r="F17" i="2" s="1"/>
  <c r="H31" i="8"/>
  <c r="E17" i="2" s="1"/>
  <c r="G31" i="8"/>
  <c r="D17" i="2" s="1"/>
  <c r="T17" i="8"/>
  <c r="Q15" i="2" s="1"/>
  <c r="S17" i="8"/>
  <c r="P15" i="2" s="1"/>
  <c r="R17" i="8"/>
  <c r="O15" i="2" s="1"/>
  <c r="Q17" i="8"/>
  <c r="N15" i="2" s="1"/>
  <c r="P17" i="8"/>
  <c r="M15" i="2" s="1"/>
  <c r="O17" i="8"/>
  <c r="L15" i="2" s="1"/>
  <c r="N17" i="8"/>
  <c r="K15" i="2" s="1"/>
  <c r="M17" i="8"/>
  <c r="J15" i="2" s="1"/>
  <c r="L17" i="8"/>
  <c r="I15" i="2" s="1"/>
  <c r="K17" i="8"/>
  <c r="H15" i="2" s="1"/>
  <c r="J17" i="8"/>
  <c r="G15" i="2" s="1"/>
  <c r="I17" i="8"/>
  <c r="F15" i="2" s="1"/>
  <c r="H17" i="8"/>
  <c r="E15" i="2" s="1"/>
  <c r="G17" i="8"/>
  <c r="D15" i="2" s="1"/>
  <c r="U27" i="5" l="1"/>
  <c r="V27" i="5"/>
  <c r="T30" i="7"/>
  <c r="U12" i="5"/>
  <c r="V12" i="5"/>
  <c r="S37" i="9"/>
  <c r="R19" i="2" s="1"/>
  <c r="W13" i="5"/>
  <c r="V13" i="5"/>
  <c r="W30" i="7"/>
  <c r="V17" i="8"/>
  <c r="S15" i="2" s="1"/>
  <c r="U20" i="6"/>
  <c r="V20" i="6"/>
  <c r="V31" i="8"/>
  <c r="S17" i="2" s="1"/>
  <c r="U17" i="8"/>
  <c r="R15" i="2" s="1"/>
  <c r="W31" i="8"/>
  <c r="T17" i="2" s="1"/>
  <c r="W17" i="8"/>
  <c r="T15" i="2" s="1"/>
  <c r="U31" i="8"/>
  <c r="R17" i="2" s="1"/>
  <c r="W28" i="3"/>
  <c r="W33" i="3"/>
  <c r="V33" i="3"/>
  <c r="W32" i="3"/>
  <c r="V32" i="3"/>
  <c r="T37" i="9"/>
  <c r="S19" i="2" s="1"/>
  <c r="U37" i="9"/>
  <c r="T19" i="2" s="1"/>
  <c r="W26" i="3"/>
  <c r="W30" i="3"/>
  <c r="W5" i="5"/>
  <c r="V34" i="3"/>
  <c r="V7" i="3"/>
  <c r="V9" i="3"/>
  <c r="V15" i="3"/>
  <c r="V17" i="3"/>
  <c r="V19" i="3"/>
  <c r="V8" i="3"/>
  <c r="V10" i="3"/>
  <c r="V16" i="3"/>
  <c r="V18" i="3"/>
  <c r="W25" i="3"/>
  <c r="W27" i="3"/>
  <c r="W29" i="3"/>
  <c r="W31" i="3"/>
  <c r="U34" i="3"/>
  <c r="W10" i="5"/>
  <c r="W25" i="5"/>
  <c r="V9" i="5"/>
  <c r="W9" i="5"/>
  <c r="V5" i="5"/>
  <c r="W26" i="5"/>
  <c r="T13" i="2"/>
  <c r="H21" i="2"/>
  <c r="U12" i="7"/>
  <c r="V17" i="7"/>
  <c r="U24" i="7"/>
  <c r="V12" i="7"/>
  <c r="V24" i="7"/>
  <c r="U17" i="7"/>
  <c r="V19" i="6"/>
  <c r="V18" i="6"/>
  <c r="L21" i="2"/>
  <c r="P21" i="2"/>
  <c r="I21" i="2"/>
  <c r="M21" i="2"/>
  <c r="G21" i="2"/>
  <c r="K21" i="2"/>
  <c r="O21" i="2"/>
  <c r="N21" i="2"/>
  <c r="F21" i="2"/>
  <c r="J21" i="2"/>
  <c r="E21" i="2"/>
  <c r="W6" i="5"/>
  <c r="V6" i="5"/>
  <c r="U8" i="7"/>
  <c r="U30" i="7" s="1"/>
  <c r="U22" i="7"/>
  <c r="V8" i="7"/>
  <c r="U20" i="7"/>
  <c r="V22" i="7"/>
  <c r="V20" i="7"/>
  <c r="Q13" i="2"/>
  <c r="V8" i="5"/>
  <c r="W12" i="5"/>
  <c r="V7" i="5"/>
  <c r="W8" i="5"/>
  <c r="V11" i="5"/>
  <c r="W7" i="5"/>
  <c r="V10" i="5"/>
  <c r="W11" i="5"/>
  <c r="U15" i="5"/>
  <c r="U17" i="5"/>
  <c r="U19" i="5"/>
  <c r="U22" i="5"/>
  <c r="V14" i="5"/>
  <c r="V15" i="5"/>
  <c r="V17" i="5"/>
  <c r="V18" i="5"/>
  <c r="V19" i="5"/>
  <c r="V20" i="5"/>
  <c r="V22" i="5"/>
  <c r="V23" i="5"/>
  <c r="W24" i="5"/>
  <c r="U26" i="5"/>
  <c r="W27" i="5"/>
  <c r="T28" i="5"/>
  <c r="Q9" i="2" s="1"/>
  <c r="U14" i="5"/>
  <c r="U16" i="5"/>
  <c r="U18" i="5"/>
  <c r="U20" i="5"/>
  <c r="U21" i="5"/>
  <c r="U23" i="5"/>
  <c r="U13" i="5"/>
  <c r="V16" i="5"/>
  <c r="V21" i="5"/>
  <c r="T35" i="3"/>
  <c r="Q7" i="2" s="1"/>
  <c r="U33" i="3"/>
  <c r="U25" i="3"/>
  <c r="U26" i="3"/>
  <c r="U27" i="3"/>
  <c r="U28" i="3"/>
  <c r="U29" i="3"/>
  <c r="U30" i="3"/>
  <c r="U31" i="3"/>
  <c r="U32" i="3"/>
  <c r="U9" i="6"/>
  <c r="U11" i="6"/>
  <c r="U13" i="6"/>
  <c r="U15" i="6"/>
  <c r="U17" i="6"/>
  <c r="U19" i="6"/>
  <c r="V6" i="6"/>
  <c r="V9" i="6"/>
  <c r="V10" i="6"/>
  <c r="V11" i="6"/>
  <c r="V12" i="6"/>
  <c r="V13" i="6"/>
  <c r="V14" i="6"/>
  <c r="V15" i="6"/>
  <c r="V16" i="6"/>
  <c r="V17" i="6"/>
  <c r="W20" i="6"/>
  <c r="W21" i="6" s="1"/>
  <c r="T11" i="2" s="1"/>
  <c r="T21" i="6"/>
  <c r="Q11" i="2" s="1"/>
  <c r="U6" i="6"/>
  <c r="U10" i="6"/>
  <c r="U12" i="6"/>
  <c r="U14" i="6"/>
  <c r="U16" i="6"/>
  <c r="U18" i="6"/>
  <c r="V6" i="3"/>
  <c r="V35" i="3" l="1"/>
  <c r="S7" i="2" s="1"/>
  <c r="W35" i="3"/>
  <c r="T7" i="2" s="1"/>
  <c r="V30" i="7"/>
  <c r="S13" i="2" s="1"/>
  <c r="R13" i="2"/>
  <c r="W28" i="5"/>
  <c r="T9" i="2" s="1"/>
  <c r="V28" i="5"/>
  <c r="S9" i="2" s="1"/>
  <c r="U28" i="5"/>
  <c r="R9" i="2" s="1"/>
  <c r="U35" i="3"/>
  <c r="R7" i="2" s="1"/>
  <c r="U21" i="6"/>
  <c r="R11" i="2" s="1"/>
  <c r="U5" i="3"/>
  <c r="U20" i="3" s="1"/>
  <c r="R5" i="2" s="1"/>
  <c r="T5" i="3"/>
  <c r="W5" i="3" s="1"/>
  <c r="W20" i="3" s="1"/>
  <c r="T5" i="2" s="1"/>
  <c r="G20" i="3"/>
  <c r="D5" i="2" s="1"/>
  <c r="D21" i="2" s="1"/>
  <c r="R24" i="2" l="1"/>
  <c r="S26" i="2"/>
  <c r="S27" i="2" s="1"/>
  <c r="S29" i="2" s="1"/>
  <c r="V5" i="3"/>
  <c r="V20" i="3" s="1"/>
  <c r="S5" i="2" s="1"/>
  <c r="T20" i="3"/>
  <c r="Q5" i="2" s="1"/>
  <c r="Q23" i="2" s="1"/>
  <c r="V21" i="6"/>
  <c r="S11" i="2" s="1"/>
  <c r="S25" i="2" l="1"/>
</calcChain>
</file>

<file path=xl/sharedStrings.xml><?xml version="1.0" encoding="utf-8"?>
<sst xmlns="http://schemas.openxmlformats.org/spreadsheetml/2006/main" count="455" uniqueCount="339">
  <si>
    <t>ECLIPSE</t>
  </si>
  <si>
    <t>SET A</t>
  </si>
  <si>
    <t>SET B</t>
  </si>
  <si>
    <t>SET C</t>
  </si>
  <si>
    <t>SET D</t>
  </si>
  <si>
    <t>SET E</t>
  </si>
  <si>
    <t>UBE 01</t>
  </si>
  <si>
    <t>UBE 05</t>
  </si>
  <si>
    <t>UBE 10</t>
  </si>
  <si>
    <t>UBE 15</t>
  </si>
  <si>
    <t>UBE 20</t>
  </si>
  <si>
    <t>NAME</t>
  </si>
  <si>
    <t>SET SIZE</t>
  </si>
  <si>
    <t>SKU</t>
  </si>
  <si>
    <t>PRICE</t>
  </si>
  <si>
    <t>TOTAL ex GST</t>
  </si>
  <si>
    <t>UBE 75</t>
  </si>
  <si>
    <t>UBE 76</t>
  </si>
  <si>
    <t>BLOCKERS</t>
  </si>
  <si>
    <t>SET A1</t>
  </si>
  <si>
    <t>SET A2</t>
  </si>
  <si>
    <t>SET B1</t>
  </si>
  <si>
    <t>SET B2</t>
  </si>
  <si>
    <t>SET C1</t>
  </si>
  <si>
    <t>SET C2</t>
  </si>
  <si>
    <t>SET D1</t>
  </si>
  <si>
    <t>SET D2</t>
  </si>
  <si>
    <t>SET E1</t>
  </si>
  <si>
    <t>SET E2</t>
  </si>
  <si>
    <t>UBE 25</t>
  </si>
  <si>
    <t>UBE 30</t>
  </si>
  <si>
    <t>UBE 35</t>
  </si>
  <si>
    <t>UBE 40</t>
  </si>
  <si>
    <t>UBE 45</t>
  </si>
  <si>
    <t>UBE 50</t>
  </si>
  <si>
    <t>UBE 55</t>
  </si>
  <si>
    <t>UBE 60</t>
  </si>
  <si>
    <t>UBE 65</t>
  </si>
  <si>
    <t>UBE 70</t>
  </si>
  <si>
    <t>DRIFTS</t>
  </si>
  <si>
    <t>MED JUGS 2</t>
  </si>
  <si>
    <t>MED JUGS 1</t>
  </si>
  <si>
    <t>XL JUGS 1</t>
  </si>
  <si>
    <t>XXL JUGS 1</t>
  </si>
  <si>
    <t>XXXL JUGS 1</t>
  </si>
  <si>
    <t>MONSTER 2</t>
  </si>
  <si>
    <t>UD 01</t>
  </si>
  <si>
    <t>UD 05</t>
  </si>
  <si>
    <t>UD 07</t>
  </si>
  <si>
    <t>UD 10</t>
  </si>
  <si>
    <t>UD 15</t>
  </si>
  <si>
    <t>UD 20</t>
  </si>
  <si>
    <t>UD 25</t>
  </si>
  <si>
    <t>UD 30</t>
  </si>
  <si>
    <t>UD 35</t>
  </si>
  <si>
    <t>UD 40</t>
  </si>
  <si>
    <t>UD 45</t>
  </si>
  <si>
    <t>UD 50</t>
  </si>
  <si>
    <t>UD 66</t>
  </si>
  <si>
    <t>WEIGHT</t>
  </si>
  <si>
    <t>SETS</t>
  </si>
  <si>
    <t>HOLDS</t>
  </si>
  <si>
    <t>SM FEET 1</t>
  </si>
  <si>
    <t>SM FEET 2</t>
  </si>
  <si>
    <t>LG FEET</t>
  </si>
  <si>
    <t>SM JUGS 1</t>
  </si>
  <si>
    <t>LG JUGS 1</t>
  </si>
  <si>
    <t>SMALL FEET 1</t>
  </si>
  <si>
    <t>SMALL EDGE 2</t>
  </si>
  <si>
    <t>TECH FEET</t>
  </si>
  <si>
    <t>UD 04</t>
  </si>
  <si>
    <t>XS FEET</t>
  </si>
  <si>
    <t>UD 06</t>
  </si>
  <si>
    <t>FEINT EDGES</t>
  </si>
  <si>
    <t>UD 08</t>
  </si>
  <si>
    <t>UD 11</t>
  </si>
  <si>
    <t xml:space="preserve">LG EDGES </t>
  </si>
  <si>
    <t xml:space="preserve">PLATE EDGES </t>
  </si>
  <si>
    <t>LG INCUTS</t>
  </si>
  <si>
    <t>UD 12</t>
  </si>
  <si>
    <t>SM EDGES 1</t>
  </si>
  <si>
    <t>SM EDGES 2</t>
  </si>
  <si>
    <t>UD 16</t>
  </si>
  <si>
    <t>MED EDGES</t>
  </si>
  <si>
    <t>UD 17</t>
  </si>
  <si>
    <t>RIB INCUTS</t>
  </si>
  <si>
    <t>UD 18</t>
  </si>
  <si>
    <t>FLAT EDGES</t>
  </si>
  <si>
    <t>UD 19</t>
  </si>
  <si>
    <t>UBE 02</t>
  </si>
  <si>
    <t>SMALL EDGE 1</t>
  </si>
  <si>
    <t>UBE 74</t>
  </si>
  <si>
    <t>XS FEET 1</t>
  </si>
  <si>
    <t>UBE 77</t>
  </si>
  <si>
    <t>XS FEET 2</t>
  </si>
  <si>
    <t>UBE 78</t>
  </si>
  <si>
    <t>LOAVES</t>
  </si>
  <si>
    <t>FEET</t>
  </si>
  <si>
    <t>XS</t>
  </si>
  <si>
    <t>SMALL</t>
  </si>
  <si>
    <t>MEDIUM</t>
  </si>
  <si>
    <t>LARGE</t>
  </si>
  <si>
    <t>XL</t>
  </si>
  <si>
    <t>XXL 1</t>
  </si>
  <si>
    <t>XXL 2</t>
  </si>
  <si>
    <t>XXXL</t>
  </si>
  <si>
    <t>4 XL 1</t>
  </si>
  <si>
    <t>4 XL 2</t>
  </si>
  <si>
    <t>4 XL 3</t>
  </si>
  <si>
    <t>4 XL 4</t>
  </si>
  <si>
    <t>UL 01</t>
  </si>
  <si>
    <t>UL 10</t>
  </si>
  <si>
    <t>UL 15</t>
  </si>
  <si>
    <t>UL 20</t>
  </si>
  <si>
    <t>UL 25</t>
  </si>
  <si>
    <t>UL 30</t>
  </si>
  <si>
    <t>UL 35</t>
  </si>
  <si>
    <t>UL 40</t>
  </si>
  <si>
    <t>UL 45</t>
  </si>
  <si>
    <t>UL 50</t>
  </si>
  <si>
    <t>UL 55</t>
  </si>
  <si>
    <t>UL 60</t>
  </si>
  <si>
    <t>UL 65</t>
  </si>
  <si>
    <t>ROUGH LINE</t>
  </si>
  <si>
    <t>SMALL FEET</t>
  </si>
  <si>
    <t>SMALL EDGES</t>
  </si>
  <si>
    <t>LG SLOPE EDGE</t>
  </si>
  <si>
    <t>XL PINCHES</t>
  </si>
  <si>
    <t>XL SLOPE EDGE</t>
  </si>
  <si>
    <t>URL 05</t>
  </si>
  <si>
    <t>URL 10</t>
  </si>
  <si>
    <t>URL 20</t>
  </si>
  <si>
    <t>URL 30</t>
  </si>
  <si>
    <t>URL 40</t>
  </si>
  <si>
    <t>URL 50</t>
  </si>
  <si>
    <t>EDGES</t>
  </si>
  <si>
    <t>SMOOTH LINE</t>
  </si>
  <si>
    <t>SLOPERS</t>
  </si>
  <si>
    <t>XL SLOTS</t>
  </si>
  <si>
    <t xml:space="preserve">XL </t>
  </si>
  <si>
    <t>FEATURE 1</t>
  </si>
  <si>
    <t>FEATURE 2</t>
  </si>
  <si>
    <t>FEATURE 3</t>
  </si>
  <si>
    <t>LARGE SLOTS</t>
  </si>
  <si>
    <t xml:space="preserve">LARGE </t>
  </si>
  <si>
    <t>MED FEET</t>
  </si>
  <si>
    <t>LG EDGE 1</t>
  </si>
  <si>
    <t>LG EDGE 2</t>
  </si>
  <si>
    <t>XL SLOPERS</t>
  </si>
  <si>
    <t>XXL SLOPERS</t>
  </si>
  <si>
    <t>UP 01</t>
  </si>
  <si>
    <t>UP 05</t>
  </si>
  <si>
    <t>UP 10</t>
  </si>
  <si>
    <t>UP 15</t>
  </si>
  <si>
    <t>UP 20</t>
  </si>
  <si>
    <t>UP 25</t>
  </si>
  <si>
    <t>UP 30</t>
  </si>
  <si>
    <t>UP 40</t>
  </si>
  <si>
    <t>UP 41</t>
  </si>
  <si>
    <t>UP 42</t>
  </si>
  <si>
    <t>USL 01</t>
  </si>
  <si>
    <t>USL 05</t>
  </si>
  <si>
    <t>USL 10</t>
  </si>
  <si>
    <t>USL 15</t>
  </si>
  <si>
    <t>USL 20</t>
  </si>
  <si>
    <t>USL 21</t>
  </si>
  <si>
    <t>USL 30</t>
  </si>
  <si>
    <t>USL 40</t>
  </si>
  <si>
    <t>FOOT JIBS</t>
  </si>
  <si>
    <t>URL 01</t>
  </si>
  <si>
    <t>SMALL JIBS</t>
  </si>
  <si>
    <t>URL 02</t>
  </si>
  <si>
    <t>MED JIBS</t>
  </si>
  <si>
    <t>URL 06</t>
  </si>
  <si>
    <t>URL 07</t>
  </si>
  <si>
    <t>URL 09</t>
  </si>
  <si>
    <t>SM DEEP EDGE</t>
  </si>
  <si>
    <t>URL 11</t>
  </si>
  <si>
    <t>URL 12</t>
  </si>
  <si>
    <t>SM STEEP EDGE</t>
  </si>
  <si>
    <t>URL 13</t>
  </si>
  <si>
    <t>LG FIN EDGE</t>
  </si>
  <si>
    <t>URL 14</t>
  </si>
  <si>
    <t>MED EDGE 2</t>
  </si>
  <si>
    <t>URL 21</t>
  </si>
  <si>
    <t>MED EDGE 3</t>
  </si>
  <si>
    <t>URL 22</t>
  </si>
  <si>
    <t>URL 31</t>
  </si>
  <si>
    <t>XL PINCHES 2</t>
  </si>
  <si>
    <t>URL 41</t>
  </si>
  <si>
    <t>SM JUGS</t>
  </si>
  <si>
    <t>URL 60</t>
  </si>
  <si>
    <t>URL 61</t>
  </si>
  <si>
    <t>URL 62</t>
  </si>
  <si>
    <t xml:space="preserve">LG JUGS </t>
  </si>
  <si>
    <t>URL 65</t>
  </si>
  <si>
    <t>MONSTER 4</t>
  </si>
  <si>
    <t>UD 68</t>
  </si>
  <si>
    <t>TOTAL SETS PER COLOUR</t>
  </si>
  <si>
    <t>SMOOTH LINE (POCKETS)</t>
  </si>
  <si>
    <t>SMOOTH LINE (SLOPERS)</t>
  </si>
  <si>
    <t>COST ex GST</t>
  </si>
  <si>
    <t>TOTAL SETS</t>
  </si>
  <si>
    <t>TOTAL HOLDS</t>
  </si>
  <si>
    <t>TOTAL WEIGHT</t>
  </si>
  <si>
    <t>TOTAL COST ex GST</t>
  </si>
  <si>
    <t>GST</t>
  </si>
  <si>
    <t>TOTAL ORDER COST</t>
  </si>
  <si>
    <t>SHIPPING DETAILS</t>
  </si>
  <si>
    <t>COMPANY NAME</t>
  </si>
  <si>
    <t>ADDRESS</t>
  </si>
  <si>
    <t>POST CODE</t>
  </si>
  <si>
    <t>COUNTRY</t>
  </si>
  <si>
    <t>PHONE NUMBER</t>
  </si>
  <si>
    <t>EMAIL</t>
  </si>
  <si>
    <t>YOUR REFERENCE NUMBER</t>
  </si>
  <si>
    <t>PHOTOS</t>
  </si>
  <si>
    <t>PHOTO</t>
  </si>
  <si>
    <t>A1</t>
  </si>
  <si>
    <t>A2</t>
  </si>
  <si>
    <t>B1</t>
  </si>
  <si>
    <t>B2</t>
  </si>
  <si>
    <t>C1</t>
  </si>
  <si>
    <t>C2</t>
  </si>
  <si>
    <t>D1</t>
  </si>
  <si>
    <t>D2</t>
  </si>
  <si>
    <t>D3</t>
  </si>
  <si>
    <t>E1</t>
  </si>
  <si>
    <t>E2</t>
  </si>
  <si>
    <t>E3</t>
  </si>
  <si>
    <t>F1</t>
  </si>
  <si>
    <t>F2</t>
  </si>
  <si>
    <t>F3</t>
  </si>
  <si>
    <t>G1</t>
  </si>
  <si>
    <t>G2</t>
  </si>
  <si>
    <t>UCF 01</t>
  </si>
  <si>
    <t>UCF 02</t>
  </si>
  <si>
    <t>UCF 03</t>
  </si>
  <si>
    <t>UCF 04</t>
  </si>
  <si>
    <t>UCF 05</t>
  </si>
  <si>
    <t>UCF 06</t>
  </si>
  <si>
    <t>UCF 07</t>
  </si>
  <si>
    <t>UCF 08</t>
  </si>
  <si>
    <t>UCF 09</t>
  </si>
  <si>
    <t>UCF 10</t>
  </si>
  <si>
    <t>UCF 11</t>
  </si>
  <si>
    <t>UCF 12</t>
  </si>
  <si>
    <t>UCF 13</t>
  </si>
  <si>
    <t>UCF 14</t>
  </si>
  <si>
    <t>UCF 15</t>
  </si>
  <si>
    <t>UCF 16</t>
  </si>
  <si>
    <t>UCF 17</t>
  </si>
  <si>
    <t>A1/A2</t>
  </si>
  <si>
    <t>B1/B2</t>
  </si>
  <si>
    <t>C1/C2</t>
  </si>
  <si>
    <t>D1/D2/D3</t>
  </si>
  <si>
    <t>E1/E2/E3</t>
  </si>
  <si>
    <t>F1/F2/F3</t>
  </si>
  <si>
    <t>G1/G2</t>
  </si>
  <si>
    <t>UCF A</t>
  </si>
  <si>
    <t>UCF B</t>
  </si>
  <si>
    <t>UCF C</t>
  </si>
  <si>
    <t>UCF D</t>
  </si>
  <si>
    <t>UCF E</t>
  </si>
  <si>
    <t>UCF F</t>
  </si>
  <si>
    <t>UCF G</t>
  </si>
  <si>
    <t>UNITS</t>
  </si>
  <si>
    <t>HOLD SIZE</t>
  </si>
  <si>
    <t>78 x 32 x 15</t>
  </si>
  <si>
    <t>74 x 30 x 14</t>
  </si>
  <si>
    <t>80 x 28 x 16</t>
  </si>
  <si>
    <t>80 x 26 x 13</t>
  </si>
  <si>
    <t>69 x 29 x 13</t>
  </si>
  <si>
    <t>70 x 32 x 16</t>
  </si>
  <si>
    <t>78 x 20 x 10</t>
  </si>
  <si>
    <t>78 x 20 x 9</t>
  </si>
  <si>
    <t>80 x 19 x 8</t>
  </si>
  <si>
    <t>68 x 17 x 8</t>
  </si>
  <si>
    <t>68 x 20 x 9</t>
  </si>
  <si>
    <t>68 x 19 x 10</t>
  </si>
  <si>
    <t>66 x 18 x 9</t>
  </si>
  <si>
    <t>80 x 20 x 10</t>
  </si>
  <si>
    <t>75 x 20 x 10</t>
  </si>
  <si>
    <t>60 x 46 x 13</t>
  </si>
  <si>
    <t>60 x 45 x 12</t>
  </si>
  <si>
    <t>FIBERGLASS MACROS</t>
  </si>
  <si>
    <t>fluro</t>
  </si>
  <si>
    <t>violet</t>
  </si>
  <si>
    <t>white</t>
  </si>
  <si>
    <t>green</t>
  </si>
  <si>
    <t>yellow</t>
  </si>
  <si>
    <t>red</t>
  </si>
  <si>
    <t>blue</t>
  </si>
  <si>
    <t>black</t>
  </si>
  <si>
    <t>Colours for fiberglass do not exactly match the colours of PU holds</t>
  </si>
  <si>
    <t>SET A JUGS</t>
  </si>
  <si>
    <t>SET B JUGS</t>
  </si>
  <si>
    <t>SET C JUGS</t>
  </si>
  <si>
    <t>SET D JUGS</t>
  </si>
  <si>
    <t>UBE 21</t>
  </si>
  <si>
    <t>UBE 22</t>
  </si>
  <si>
    <t>UBE 23</t>
  </si>
  <si>
    <t>UBE 24</t>
  </si>
  <si>
    <t>USL 03</t>
  </si>
  <si>
    <t>LG JUGS 2</t>
  </si>
  <si>
    <t>URL 66</t>
  </si>
  <si>
    <t>THIN JIBS SM</t>
  </si>
  <si>
    <t>THIN JIBS LG</t>
  </si>
  <si>
    <t>UL 05</t>
  </si>
  <si>
    <t>UL 06</t>
  </si>
  <si>
    <t>RAL 1023</t>
  </si>
  <si>
    <t>RAL 3020</t>
  </si>
  <si>
    <t>RAL 5015</t>
  </si>
  <si>
    <t>RAL 9005</t>
  </si>
  <si>
    <t>RAL 2005</t>
  </si>
  <si>
    <t>PAN 802C</t>
  </si>
  <si>
    <t>PAN 806C</t>
  </si>
  <si>
    <t>RAL 4008</t>
  </si>
  <si>
    <t>RAL 6018</t>
  </si>
  <si>
    <t>US 14-01</t>
  </si>
  <si>
    <t>US 16-16</t>
  </si>
  <si>
    <t>RAL 9010</t>
  </si>
  <si>
    <t>PAN 267U</t>
  </si>
  <si>
    <t>COLOURS</t>
  </si>
  <si>
    <t>BRIGHT YELLOW - RAL 1023</t>
  </si>
  <si>
    <t>TRAFFIC RED - RAL 3020</t>
  </si>
  <si>
    <t>SKY BLUE - RAL 5015</t>
  </si>
  <si>
    <t>BLACK - RAL 9005</t>
  </si>
  <si>
    <t>FLURO ORANGE - RAL 2005</t>
  </si>
  <si>
    <t>FLURO GREEN - PAN. 802C</t>
  </si>
  <si>
    <t>FLURO PINK - PAN. 806C</t>
  </si>
  <si>
    <t>SIGNAL VIOLET - RAL 4008</t>
  </si>
  <si>
    <t>LIGHT GREEN - RAL 6018</t>
  </si>
  <si>
    <t>BURNT ORANGE - US 14-01</t>
  </si>
  <si>
    <t>US GREEN - US 16-16</t>
  </si>
  <si>
    <t>PURE WHITE - RAL 9001</t>
  </si>
  <si>
    <t>US PURPLE - PAN 267u</t>
  </si>
  <si>
    <t>PRICES SHOWN ARE INCLUSIVE OF SHIPPING AND CUSTOMS CHARGES INTO AUSTRALIA. THEY DO NOT INCLUDE GST AND ARE VALID UNTILL END 12/21</t>
  </si>
  <si>
    <t>USL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</si>
</sst>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[$$-C09]* #,##0.00_-;\-[$$-C09]* #,##0.00_-;_-[$$-C09]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4">
    <xf numFmtId="0" fontId="0" fillId="0" borderId="0" xfId="0"/>
    <xf numFmtId="0" fontId="3" fillId="0" borderId="0" xfId="0" applyFont="1" applyFill="1" applyBorder="1" applyAlignment="1">
      <alignment horizontal="center"/>
    </xf>
    <xf numFmtId="0" fontId="0" fillId="13" borderId="0" xfId="0" applyFill="1" applyBorder="1" applyProtection="1">
      <protection locked="0"/>
    </xf>
    <xf numFmtId="0" fontId="4" fillId="13" borderId="0" xfId="0" applyFont="1" applyFill="1" applyBorder="1" applyProtection="1">
      <protection locked="0"/>
    </xf>
    <xf numFmtId="0" fontId="0" fillId="13" borderId="16" xfId="0" applyFill="1" applyBorder="1" applyProtection="1">
      <protection locked="0"/>
    </xf>
    <xf numFmtId="0" fontId="4" fillId="13" borderId="16" xfId="0" applyFont="1" applyFill="1" applyBorder="1" applyProtection="1">
      <protection locked="0"/>
    </xf>
    <xf numFmtId="0" fontId="0" fillId="13" borderId="0" xfId="0" applyFill="1"/>
    <xf numFmtId="0" fontId="0" fillId="13" borderId="0" xfId="0" applyFill="1" applyProtection="1">
      <protection locked="0"/>
    </xf>
    <xf numFmtId="0" fontId="4" fillId="13" borderId="0" xfId="0" applyFont="1" applyFill="1" applyProtection="1">
      <protection locked="0"/>
    </xf>
    <xf numFmtId="0" fontId="0" fillId="13" borderId="0" xfId="0" applyFill="1" applyProtection="1"/>
    <xf numFmtId="44" fontId="0" fillId="13" borderId="0" xfId="1" applyFont="1" applyFill="1" applyBorder="1" applyProtection="1"/>
    <xf numFmtId="44" fontId="0" fillId="13" borderId="16" xfId="1" applyFont="1" applyFill="1" applyBorder="1" applyProtection="1"/>
    <xf numFmtId="0" fontId="0" fillId="13" borderId="0" xfId="0" applyFill="1" applyBorder="1" applyProtection="1"/>
    <xf numFmtId="164" fontId="0" fillId="13" borderId="0" xfId="1" applyNumberFormat="1" applyFont="1" applyFill="1" applyBorder="1" applyProtection="1"/>
    <xf numFmtId="0" fontId="0" fillId="13" borderId="16" xfId="0" applyFill="1" applyBorder="1" applyProtection="1"/>
    <xf numFmtId="164" fontId="0" fillId="13" borderId="16" xfId="1" applyNumberFormat="1" applyFont="1" applyFill="1" applyBorder="1" applyProtection="1"/>
    <xf numFmtId="0" fontId="0" fillId="13" borderId="1" xfId="0" applyFill="1" applyBorder="1" applyProtection="1"/>
    <xf numFmtId="0" fontId="0" fillId="13" borderId="18" xfId="0" applyFill="1" applyBorder="1" applyProtection="1">
      <protection locked="0"/>
    </xf>
    <xf numFmtId="0" fontId="0" fillId="13" borderId="18" xfId="0" applyFill="1" applyBorder="1" applyProtection="1"/>
    <xf numFmtId="0" fontId="6" fillId="13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3" fillId="13" borderId="16" xfId="0" applyFont="1" applyFill="1" applyBorder="1" applyAlignment="1" applyProtection="1">
      <alignment horizontal="center"/>
    </xf>
    <xf numFmtId="0" fontId="3" fillId="13" borderId="0" xfId="0" applyFont="1" applyFill="1" applyBorder="1" applyAlignment="1" applyProtection="1">
      <alignment horizontal="center"/>
    </xf>
    <xf numFmtId="0" fontId="0" fillId="0" borderId="0" xfId="0"/>
    <xf numFmtId="0" fontId="0" fillId="0" borderId="0" xfId="0" applyBorder="1"/>
    <xf numFmtId="164" fontId="0" fillId="13" borderId="1" xfId="1" applyNumberFormat="1" applyFont="1" applyFill="1" applyBorder="1" applyProtection="1"/>
    <xf numFmtId="0" fontId="0" fillId="13" borderId="0" xfId="0" applyFill="1" applyBorder="1"/>
    <xf numFmtId="44" fontId="0" fillId="13" borderId="1" xfId="0" applyNumberFormat="1" applyFill="1" applyBorder="1" applyProtection="1"/>
    <xf numFmtId="0" fontId="0" fillId="0" borderId="13" xfId="0" applyBorder="1"/>
    <xf numFmtId="0" fontId="3" fillId="0" borderId="0" xfId="0" applyFont="1"/>
    <xf numFmtId="0" fontId="4" fillId="0" borderId="0" xfId="0" applyFont="1"/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9" fillId="0" borderId="27" xfId="0" applyFont="1" applyBorder="1"/>
    <xf numFmtId="0" fontId="0" fillId="13" borderId="1" xfId="0" applyFill="1" applyBorder="1" applyAlignment="1" applyProtection="1">
      <alignment horizontal="center"/>
      <protection locked="0"/>
    </xf>
    <xf numFmtId="0" fontId="0" fillId="13" borderId="1" xfId="0" applyFill="1" applyBorder="1" applyAlignment="1" applyProtection="1">
      <alignment horizontal="center"/>
    </xf>
    <xf numFmtId="164" fontId="0" fillId="13" borderId="1" xfId="1" applyNumberFormat="1" applyFont="1" applyFill="1" applyBorder="1" applyAlignment="1" applyProtection="1">
      <alignment horizontal="center"/>
    </xf>
    <xf numFmtId="0" fontId="9" fillId="0" borderId="23" xfId="0" applyFont="1" applyBorder="1" applyAlignment="1"/>
    <xf numFmtId="0" fontId="9" fillId="0" borderId="24" xfId="0" applyFont="1" applyBorder="1" applyAlignment="1"/>
    <xf numFmtId="0" fontId="0" fillId="0" borderId="24" xfId="0" applyBorder="1"/>
    <xf numFmtId="0" fontId="0" fillId="0" borderId="23" xfId="0" applyBorder="1"/>
    <xf numFmtId="0" fontId="0" fillId="11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4" fillId="16" borderId="1" xfId="0" applyFont="1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18" borderId="1" xfId="0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10" fillId="13" borderId="18" xfId="0" applyFont="1" applyFill="1" applyBorder="1" applyProtection="1">
      <protection locked="0"/>
    </xf>
    <xf numFmtId="44" fontId="0" fillId="13" borderId="18" xfId="0" applyNumberFormat="1" applyFill="1" applyBorder="1" applyProtection="1"/>
    <xf numFmtId="0" fontId="3" fillId="0" borderId="0" xfId="0" applyFont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2" fillId="16" borderId="29" xfId="0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3" fillId="18" borderId="29" xfId="0" applyFont="1" applyFill="1" applyBorder="1" applyAlignment="1">
      <alignment horizontal="center"/>
    </xf>
    <xf numFmtId="0" fontId="3" fillId="10" borderId="29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15" borderId="29" xfId="0" applyFont="1" applyFill="1" applyBorder="1" applyAlignment="1">
      <alignment horizontal="center"/>
    </xf>
    <xf numFmtId="0" fontId="3" fillId="13" borderId="29" xfId="0" applyFont="1" applyFill="1" applyBorder="1" applyAlignment="1">
      <alignment horizontal="center"/>
    </xf>
    <xf numFmtId="0" fontId="3" fillId="11" borderId="29" xfId="0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3" fillId="13" borderId="0" xfId="0" applyFont="1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0" fontId="3" fillId="13" borderId="39" xfId="0" applyFont="1" applyFill="1" applyBorder="1" applyAlignment="1" applyProtection="1">
      <alignment horizontal="center"/>
    </xf>
    <xf numFmtId="0" fontId="3" fillId="13" borderId="14" xfId="0" applyFont="1" applyFill="1" applyBorder="1" applyAlignment="1" applyProtection="1">
      <alignment horizontal="center"/>
    </xf>
    <xf numFmtId="0" fontId="3" fillId="13" borderId="31" xfId="0" applyFont="1" applyFill="1" applyBorder="1" applyAlignment="1" applyProtection="1">
      <alignment horizontal="center"/>
    </xf>
    <xf numFmtId="0" fontId="3" fillId="14" borderId="14" xfId="0" applyFont="1" applyFill="1" applyBorder="1" applyAlignment="1" applyProtection="1">
      <alignment horizontal="center"/>
    </xf>
    <xf numFmtId="0" fontId="3" fillId="13" borderId="41" xfId="0" applyFont="1" applyFill="1" applyBorder="1" applyAlignment="1" applyProtection="1">
      <alignment horizontal="center"/>
    </xf>
    <xf numFmtId="0" fontId="3" fillId="0" borderId="40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3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14" borderId="5" xfId="0" applyFont="1" applyFill="1" applyBorder="1" applyAlignment="1" applyProtection="1">
      <alignment horizontal="center" vertical="center"/>
    </xf>
    <xf numFmtId="0" fontId="3" fillId="13" borderId="7" xfId="0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44" fontId="0" fillId="0" borderId="3" xfId="1" applyFont="1" applyBorder="1" applyAlignment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44" fontId="0" fillId="0" borderId="1" xfId="1" applyFont="1" applyBorder="1" applyAlignment="1" applyProtection="1">
      <alignment vertical="center"/>
    </xf>
    <xf numFmtId="0" fontId="3" fillId="14" borderId="1" xfId="0" applyFont="1" applyFill="1" applyBorder="1" applyAlignment="1" applyProtection="1">
      <alignment horizontal="center" vertical="center"/>
    </xf>
    <xf numFmtId="0" fontId="3" fillId="13" borderId="8" xfId="0" applyFont="1" applyFill="1" applyBorder="1" applyAlignment="1" applyProtection="1">
      <alignment horizontal="center" vertical="center"/>
    </xf>
    <xf numFmtId="44" fontId="0" fillId="13" borderId="8" xfId="1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44" fontId="0" fillId="0" borderId="4" xfId="1" applyFon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44" fontId="0" fillId="0" borderId="6" xfId="1" applyFont="1" applyBorder="1" applyAlignment="1" applyProtection="1">
      <alignment vertical="center"/>
    </xf>
    <xf numFmtId="0" fontId="0" fillId="14" borderId="1" xfId="0" applyFill="1" applyBorder="1" applyAlignment="1" applyProtection="1">
      <alignment vertical="center"/>
    </xf>
    <xf numFmtId="0" fontId="0" fillId="13" borderId="13" xfId="0" applyFill="1" applyBorder="1" applyAlignment="1" applyProtection="1">
      <alignment vertical="center"/>
    </xf>
    <xf numFmtId="44" fontId="0" fillId="13" borderId="22" xfId="1" applyFont="1" applyFill="1" applyBorder="1" applyAlignment="1" applyProtection="1">
      <alignment vertical="center"/>
    </xf>
    <xf numFmtId="0" fontId="3" fillId="13" borderId="5" xfId="0" applyFont="1" applyFill="1" applyBorder="1" applyAlignment="1" applyProtection="1">
      <alignment horizontal="center" vertical="center"/>
    </xf>
    <xf numFmtId="0" fontId="3" fillId="13" borderId="21" xfId="0" applyFont="1" applyFill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3" fillId="13" borderId="1" xfId="0" applyFont="1" applyFill="1" applyBorder="1" applyAlignment="1" applyProtection="1">
      <alignment horizontal="center" vertical="center"/>
    </xf>
    <xf numFmtId="44" fontId="0" fillId="13" borderId="1" xfId="1" applyFont="1" applyFill="1" applyBorder="1" applyAlignment="1" applyProtection="1">
      <alignment vertical="center"/>
    </xf>
    <xf numFmtId="0" fontId="0" fillId="13" borderId="1" xfId="0" applyFill="1" applyBorder="1" applyAlignment="1" applyProtection="1">
      <alignment vertical="center"/>
    </xf>
    <xf numFmtId="0" fontId="0" fillId="13" borderId="11" xfId="0" applyFill="1" applyBorder="1" applyAlignment="1" applyProtection="1">
      <alignment vertical="center"/>
    </xf>
    <xf numFmtId="44" fontId="0" fillId="13" borderId="6" xfId="1" applyFont="1" applyFill="1" applyBorder="1" applyAlignment="1" applyProtection="1">
      <alignment vertical="center"/>
    </xf>
    <xf numFmtId="0" fontId="0" fillId="0" borderId="11" xfId="0" applyBorder="1" applyAlignment="1" applyProtection="1">
      <alignment vertical="center"/>
    </xf>
    <xf numFmtId="0" fontId="3" fillId="13" borderId="13" xfId="0" applyFont="1" applyFill="1" applyBorder="1" applyAlignment="1" applyProtection="1">
      <alignment horizontal="center" vertical="center"/>
    </xf>
    <xf numFmtId="44" fontId="0" fillId="13" borderId="13" xfId="1" applyFont="1" applyFill="1" applyBorder="1" applyAlignment="1" applyProtection="1">
      <alignment vertical="center"/>
    </xf>
    <xf numFmtId="0" fontId="0" fillId="13" borderId="15" xfId="0" applyFill="1" applyBorder="1" applyAlignment="1" applyProtection="1">
      <alignment vertical="center"/>
    </xf>
    <xf numFmtId="0" fontId="3" fillId="0" borderId="8" xfId="0" applyFont="1" applyBorder="1" applyAlignment="1" applyProtection="1">
      <alignment horizontal="center" vertical="center"/>
    </xf>
    <xf numFmtId="44" fontId="0" fillId="0" borderId="8" xfId="1" applyFont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44" fontId="0" fillId="0" borderId="9" xfId="1" applyFont="1" applyBorder="1" applyAlignment="1" applyProtection="1">
      <alignment vertical="center"/>
    </xf>
    <xf numFmtId="0" fontId="3" fillId="13" borderId="17" xfId="0" applyFont="1" applyFill="1" applyBorder="1" applyAlignment="1" applyProtection="1">
      <alignment horizontal="center" vertical="center"/>
    </xf>
    <xf numFmtId="164" fontId="0" fillId="0" borderId="4" xfId="1" applyNumberFormat="1" applyFont="1" applyBorder="1" applyAlignment="1" applyProtection="1">
      <alignment vertical="center"/>
    </xf>
    <xf numFmtId="0" fontId="3" fillId="13" borderId="18" xfId="0" applyFont="1" applyFill="1" applyBorder="1" applyAlignment="1" applyProtection="1">
      <alignment horizontal="center" vertical="center"/>
    </xf>
    <xf numFmtId="44" fontId="0" fillId="13" borderId="18" xfId="1" applyFont="1" applyFill="1" applyBorder="1" applyAlignment="1" applyProtection="1">
      <alignment vertical="center"/>
    </xf>
    <xf numFmtId="0" fontId="0" fillId="13" borderId="18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164" fontId="0" fillId="13" borderId="20" xfId="1" applyNumberFormat="1" applyFont="1" applyFill="1" applyBorder="1" applyAlignment="1" applyProtection="1">
      <alignment vertical="center"/>
    </xf>
    <xf numFmtId="164" fontId="0" fillId="0" borderId="6" xfId="1" applyNumberFormat="1" applyFont="1" applyBorder="1" applyAlignment="1" applyProtection="1">
      <alignment vertical="center"/>
    </xf>
    <xf numFmtId="164" fontId="0" fillId="13" borderId="6" xfId="1" applyNumberFormat="1" applyFont="1" applyFill="1" applyBorder="1" applyAlignment="1" applyProtection="1">
      <alignment vertical="center"/>
    </xf>
    <xf numFmtId="164" fontId="0" fillId="13" borderId="22" xfId="1" applyNumberFormat="1" applyFont="1" applyFill="1" applyBorder="1" applyAlignment="1" applyProtection="1">
      <alignment vertical="center"/>
    </xf>
    <xf numFmtId="0" fontId="15" fillId="2" borderId="3" xfId="0" applyFont="1" applyFill="1" applyBorder="1" applyAlignment="1" applyProtection="1">
      <alignment vertical="center"/>
      <protection locked="0"/>
    </xf>
    <xf numFmtId="0" fontId="15" fillId="3" borderId="3" xfId="0" applyFont="1" applyFill="1" applyBorder="1" applyAlignment="1" applyProtection="1">
      <alignment vertical="center"/>
      <protection locked="0"/>
    </xf>
    <xf numFmtId="0" fontId="15" fillId="4" borderId="3" xfId="0" applyFont="1" applyFill="1" applyBorder="1" applyAlignment="1" applyProtection="1">
      <alignment vertical="center"/>
      <protection locked="0"/>
    </xf>
    <xf numFmtId="0" fontId="16" fillId="16" borderId="3" xfId="0" applyFont="1" applyFill="1" applyBorder="1" applyAlignment="1" applyProtection="1">
      <alignment vertical="center"/>
      <protection locked="0"/>
    </xf>
    <xf numFmtId="0" fontId="15" fillId="5" borderId="3" xfId="0" applyFont="1" applyFill="1" applyBorder="1" applyAlignment="1" applyProtection="1">
      <alignment vertical="center"/>
      <protection locked="0"/>
    </xf>
    <xf numFmtId="0" fontId="15" fillId="7" borderId="3" xfId="0" applyFont="1" applyFill="1" applyBorder="1" applyAlignment="1" applyProtection="1">
      <alignment vertical="center"/>
      <protection locked="0"/>
    </xf>
    <xf numFmtId="0" fontId="15" fillId="18" borderId="3" xfId="0" applyFont="1" applyFill="1" applyBorder="1" applyAlignment="1" applyProtection="1">
      <alignment vertical="center"/>
      <protection locked="0"/>
    </xf>
    <xf numFmtId="0" fontId="15" fillId="10" borderId="3" xfId="0" applyFont="1" applyFill="1" applyBorder="1" applyAlignment="1" applyProtection="1">
      <alignment vertical="center"/>
      <protection locked="0"/>
    </xf>
    <xf numFmtId="0" fontId="15" fillId="8" borderId="3" xfId="0" applyFont="1" applyFill="1" applyBorder="1" applyAlignment="1" applyProtection="1">
      <alignment vertical="center"/>
      <protection locked="0"/>
    </xf>
    <xf numFmtId="0" fontId="15" fillId="6" borderId="3" xfId="0" applyFont="1" applyFill="1" applyBorder="1" applyAlignment="1" applyProtection="1">
      <alignment vertical="center"/>
      <protection locked="0"/>
    </xf>
    <xf numFmtId="0" fontId="15" fillId="9" borderId="3" xfId="0" applyFont="1" applyFill="1" applyBorder="1" applyAlignment="1" applyProtection="1">
      <alignment vertical="center"/>
      <protection locked="0"/>
    </xf>
    <xf numFmtId="0" fontId="15" fillId="13" borderId="3" xfId="0" applyFont="1" applyFill="1" applyBorder="1" applyAlignment="1" applyProtection="1">
      <alignment vertical="center"/>
      <protection locked="0"/>
    </xf>
    <xf numFmtId="0" fontId="15" fillId="11" borderId="3" xfId="0" applyFont="1" applyFill="1" applyBorder="1" applyAlignment="1" applyProtection="1">
      <alignment vertical="center"/>
      <protection locked="0"/>
    </xf>
    <xf numFmtId="0" fontId="15" fillId="2" borderId="1" xfId="0" applyFont="1" applyFill="1" applyBorder="1" applyAlignment="1" applyProtection="1">
      <alignment vertical="center"/>
      <protection locked="0"/>
    </xf>
    <xf numFmtId="0" fontId="15" fillId="3" borderId="1" xfId="0" applyFont="1" applyFill="1" applyBorder="1" applyAlignment="1" applyProtection="1">
      <alignment vertical="center"/>
      <protection locked="0"/>
    </xf>
    <xf numFmtId="0" fontId="15" fillId="4" borderId="1" xfId="0" applyFont="1" applyFill="1" applyBorder="1" applyAlignment="1" applyProtection="1">
      <alignment vertical="center"/>
      <protection locked="0"/>
    </xf>
    <xf numFmtId="0" fontId="16" fillId="16" borderId="1" xfId="0" applyFont="1" applyFill="1" applyBorder="1" applyAlignment="1" applyProtection="1">
      <alignment vertical="center"/>
      <protection locked="0"/>
    </xf>
    <xf numFmtId="0" fontId="15" fillId="5" borderId="1" xfId="0" applyFont="1" applyFill="1" applyBorder="1" applyAlignment="1" applyProtection="1">
      <alignment vertical="center"/>
      <protection locked="0"/>
    </xf>
    <xf numFmtId="0" fontId="15" fillId="7" borderId="1" xfId="0" applyFont="1" applyFill="1" applyBorder="1" applyAlignment="1" applyProtection="1">
      <alignment vertical="center"/>
      <protection locked="0"/>
    </xf>
    <xf numFmtId="0" fontId="15" fillId="18" borderId="1" xfId="0" applyFont="1" applyFill="1" applyBorder="1" applyAlignment="1" applyProtection="1">
      <alignment vertical="center"/>
      <protection locked="0"/>
    </xf>
    <xf numFmtId="0" fontId="15" fillId="10" borderId="1" xfId="0" applyFont="1" applyFill="1" applyBorder="1" applyAlignment="1" applyProtection="1">
      <alignment vertical="center"/>
      <protection locked="0"/>
    </xf>
    <xf numFmtId="0" fontId="15" fillId="8" borderId="1" xfId="0" applyFont="1" applyFill="1" applyBorder="1" applyAlignment="1" applyProtection="1">
      <alignment vertical="center"/>
      <protection locked="0"/>
    </xf>
    <xf numFmtId="0" fontId="15" fillId="6" borderId="1" xfId="0" applyFont="1" applyFill="1" applyBorder="1" applyAlignment="1" applyProtection="1">
      <alignment vertical="center"/>
      <protection locked="0"/>
    </xf>
    <xf numFmtId="0" fontId="15" fillId="9" borderId="1" xfId="0" applyFont="1" applyFill="1" applyBorder="1" applyAlignment="1" applyProtection="1">
      <alignment vertical="center"/>
      <protection locked="0"/>
    </xf>
    <xf numFmtId="0" fontId="15" fillId="13" borderId="1" xfId="0" applyFont="1" applyFill="1" applyBorder="1" applyAlignment="1" applyProtection="1">
      <alignment vertical="center"/>
      <protection locked="0"/>
    </xf>
    <xf numFmtId="0" fontId="15" fillId="11" borderId="1" xfId="0" applyFont="1" applyFill="1" applyBorder="1" applyAlignment="1" applyProtection="1">
      <alignment vertical="center"/>
      <protection locked="0"/>
    </xf>
    <xf numFmtId="0" fontId="15" fillId="2" borderId="13" xfId="0" applyFont="1" applyFill="1" applyBorder="1" applyAlignment="1" applyProtection="1">
      <alignment vertical="center"/>
      <protection locked="0"/>
    </xf>
    <xf numFmtId="0" fontId="15" fillId="3" borderId="13" xfId="0" applyFont="1" applyFill="1" applyBorder="1" applyAlignment="1" applyProtection="1">
      <alignment vertical="center"/>
      <protection locked="0"/>
    </xf>
    <xf numFmtId="0" fontId="15" fillId="4" borderId="13" xfId="0" applyFont="1" applyFill="1" applyBorder="1" applyAlignment="1" applyProtection="1">
      <alignment vertical="center"/>
      <protection locked="0"/>
    </xf>
    <xf numFmtId="0" fontId="16" fillId="16" borderId="13" xfId="0" applyFont="1" applyFill="1" applyBorder="1" applyAlignment="1" applyProtection="1">
      <alignment vertical="center"/>
      <protection locked="0"/>
    </xf>
    <xf numFmtId="0" fontId="15" fillId="5" borderId="13" xfId="0" applyFont="1" applyFill="1" applyBorder="1" applyAlignment="1" applyProtection="1">
      <alignment vertical="center"/>
      <protection locked="0"/>
    </xf>
    <xf numFmtId="0" fontId="15" fillId="7" borderId="13" xfId="0" applyFont="1" applyFill="1" applyBorder="1" applyAlignment="1" applyProtection="1">
      <alignment vertical="center"/>
      <protection locked="0"/>
    </xf>
    <xf numFmtId="0" fontId="15" fillId="18" borderId="13" xfId="0" applyFont="1" applyFill="1" applyBorder="1" applyAlignment="1" applyProtection="1">
      <alignment vertical="center"/>
      <protection locked="0"/>
    </xf>
    <xf numFmtId="0" fontId="15" fillId="10" borderId="13" xfId="0" applyFont="1" applyFill="1" applyBorder="1" applyAlignment="1" applyProtection="1">
      <alignment vertical="center"/>
      <protection locked="0"/>
    </xf>
    <xf numFmtId="0" fontId="15" fillId="8" borderId="13" xfId="0" applyFont="1" applyFill="1" applyBorder="1" applyAlignment="1" applyProtection="1">
      <alignment vertical="center"/>
      <protection locked="0"/>
    </xf>
    <xf numFmtId="0" fontId="15" fillId="6" borderId="13" xfId="0" applyFont="1" applyFill="1" applyBorder="1" applyAlignment="1" applyProtection="1">
      <alignment vertical="center"/>
      <protection locked="0"/>
    </xf>
    <xf numFmtId="0" fontId="15" fillId="9" borderId="13" xfId="0" applyFont="1" applyFill="1" applyBorder="1" applyAlignment="1" applyProtection="1">
      <alignment vertical="center"/>
      <protection locked="0"/>
    </xf>
    <xf numFmtId="0" fontId="15" fillId="13" borderId="13" xfId="0" applyFont="1" applyFill="1" applyBorder="1" applyAlignment="1" applyProtection="1">
      <alignment vertical="center"/>
      <protection locked="0"/>
    </xf>
    <xf numFmtId="0" fontId="15" fillId="11" borderId="13" xfId="0" applyFont="1" applyFill="1" applyBorder="1" applyAlignment="1" applyProtection="1">
      <alignment vertical="center"/>
      <protection locked="0"/>
    </xf>
    <xf numFmtId="0" fontId="15" fillId="2" borderId="8" xfId="0" applyFont="1" applyFill="1" applyBorder="1" applyAlignment="1" applyProtection="1">
      <alignment vertical="center"/>
      <protection locked="0"/>
    </xf>
    <xf numFmtId="0" fontId="15" fillId="3" borderId="8" xfId="0" applyFont="1" applyFill="1" applyBorder="1" applyAlignment="1" applyProtection="1">
      <alignment vertical="center"/>
      <protection locked="0"/>
    </xf>
    <xf numFmtId="0" fontId="15" fillId="4" borderId="8" xfId="0" applyFont="1" applyFill="1" applyBorder="1" applyAlignment="1" applyProtection="1">
      <alignment vertical="center"/>
      <protection locked="0"/>
    </xf>
    <xf numFmtId="0" fontId="16" fillId="16" borderId="8" xfId="0" applyFont="1" applyFill="1" applyBorder="1" applyAlignment="1" applyProtection="1">
      <alignment vertical="center"/>
      <protection locked="0"/>
    </xf>
    <xf numFmtId="0" fontId="15" fillId="5" borderId="8" xfId="0" applyFont="1" applyFill="1" applyBorder="1" applyAlignment="1" applyProtection="1">
      <alignment vertical="center"/>
      <protection locked="0"/>
    </xf>
    <xf numFmtId="0" fontId="15" fillId="7" borderId="8" xfId="0" applyFont="1" applyFill="1" applyBorder="1" applyAlignment="1" applyProtection="1">
      <alignment vertical="center"/>
      <protection locked="0"/>
    </xf>
    <xf numFmtId="0" fontId="15" fillId="18" borderId="8" xfId="0" applyFont="1" applyFill="1" applyBorder="1" applyAlignment="1" applyProtection="1">
      <alignment vertical="center"/>
      <protection locked="0"/>
    </xf>
    <xf numFmtId="0" fontId="15" fillId="10" borderId="8" xfId="0" applyFont="1" applyFill="1" applyBorder="1" applyAlignment="1" applyProtection="1">
      <alignment vertical="center"/>
      <protection locked="0"/>
    </xf>
    <xf numFmtId="0" fontId="15" fillId="8" borderId="8" xfId="0" applyFont="1" applyFill="1" applyBorder="1" applyAlignment="1" applyProtection="1">
      <alignment vertical="center"/>
      <protection locked="0"/>
    </xf>
    <xf numFmtId="0" fontId="15" fillId="6" borderId="8" xfId="0" applyFont="1" applyFill="1" applyBorder="1" applyAlignment="1" applyProtection="1">
      <alignment vertical="center"/>
      <protection locked="0"/>
    </xf>
    <xf numFmtId="0" fontId="15" fillId="9" borderId="8" xfId="0" applyFont="1" applyFill="1" applyBorder="1" applyAlignment="1" applyProtection="1">
      <alignment vertical="center"/>
      <protection locked="0"/>
    </xf>
    <xf numFmtId="0" fontId="15" fillId="13" borderId="8" xfId="0" applyFont="1" applyFill="1" applyBorder="1" applyAlignment="1" applyProtection="1">
      <alignment vertical="center"/>
      <protection locked="0"/>
    </xf>
    <xf numFmtId="0" fontId="15" fillId="11" borderId="8" xfId="0" applyFont="1" applyFill="1" applyBorder="1" applyAlignment="1" applyProtection="1">
      <alignment vertical="center"/>
      <protection locked="0"/>
    </xf>
    <xf numFmtId="0" fontId="15" fillId="2" borderId="18" xfId="0" applyFont="1" applyFill="1" applyBorder="1" applyAlignment="1" applyProtection="1">
      <alignment vertical="center"/>
      <protection locked="0"/>
    </xf>
    <xf numFmtId="0" fontId="15" fillId="3" borderId="18" xfId="0" applyFont="1" applyFill="1" applyBorder="1" applyAlignment="1" applyProtection="1">
      <alignment vertical="center"/>
      <protection locked="0"/>
    </xf>
    <xf numFmtId="0" fontId="15" fillId="4" borderId="18" xfId="0" applyFont="1" applyFill="1" applyBorder="1" applyAlignment="1" applyProtection="1">
      <alignment vertical="center"/>
      <protection locked="0"/>
    </xf>
    <xf numFmtId="0" fontId="16" fillId="16" borderId="18" xfId="0" applyFont="1" applyFill="1" applyBorder="1" applyAlignment="1" applyProtection="1">
      <alignment vertical="center"/>
      <protection locked="0"/>
    </xf>
    <xf numFmtId="0" fontId="15" fillId="5" borderId="18" xfId="0" applyFont="1" applyFill="1" applyBorder="1" applyAlignment="1" applyProtection="1">
      <alignment vertical="center"/>
      <protection locked="0"/>
    </xf>
    <xf numFmtId="0" fontId="15" fillId="7" borderId="18" xfId="0" applyFont="1" applyFill="1" applyBorder="1" applyAlignment="1" applyProtection="1">
      <alignment vertical="center"/>
      <protection locked="0"/>
    </xf>
    <xf numFmtId="0" fontId="15" fillId="18" borderId="18" xfId="0" applyFont="1" applyFill="1" applyBorder="1" applyAlignment="1" applyProtection="1">
      <alignment vertical="center"/>
      <protection locked="0"/>
    </xf>
    <xf numFmtId="0" fontId="15" fillId="10" borderId="18" xfId="0" applyFont="1" applyFill="1" applyBorder="1" applyAlignment="1" applyProtection="1">
      <alignment vertical="center"/>
      <protection locked="0"/>
    </xf>
    <xf numFmtId="0" fontId="15" fillId="8" borderId="18" xfId="0" applyFont="1" applyFill="1" applyBorder="1" applyAlignment="1" applyProtection="1">
      <alignment vertical="center"/>
      <protection locked="0"/>
    </xf>
    <xf numFmtId="0" fontId="15" fillId="6" borderId="18" xfId="0" applyFont="1" applyFill="1" applyBorder="1" applyAlignment="1" applyProtection="1">
      <alignment vertical="center"/>
      <protection locked="0"/>
    </xf>
    <xf numFmtId="0" fontId="15" fillId="9" borderId="18" xfId="0" applyFont="1" applyFill="1" applyBorder="1" applyAlignment="1" applyProtection="1">
      <alignment vertical="center"/>
      <protection locked="0"/>
    </xf>
    <xf numFmtId="0" fontId="15" fillId="13" borderId="18" xfId="0" applyFont="1" applyFill="1" applyBorder="1" applyAlignment="1" applyProtection="1">
      <alignment vertical="center"/>
      <protection locked="0"/>
    </xf>
    <xf numFmtId="0" fontId="15" fillId="11" borderId="18" xfId="0" applyFont="1" applyFill="1" applyBorder="1" applyAlignment="1" applyProtection="1">
      <alignment vertical="center"/>
      <protection locked="0"/>
    </xf>
    <xf numFmtId="0" fontId="15" fillId="12" borderId="1" xfId="0" applyFont="1" applyFill="1" applyBorder="1" applyAlignment="1" applyProtection="1">
      <alignment vertical="center"/>
      <protection locked="0"/>
    </xf>
    <xf numFmtId="0" fontId="15" fillId="2" borderId="0" xfId="0" applyFont="1" applyFill="1" applyBorder="1" applyAlignment="1" applyProtection="1">
      <alignment vertical="center"/>
      <protection locked="0"/>
    </xf>
    <xf numFmtId="0" fontId="15" fillId="12" borderId="13" xfId="0" applyFont="1" applyFill="1" applyBorder="1" applyAlignment="1" applyProtection="1">
      <alignment vertical="center"/>
      <protection locked="0"/>
    </xf>
    <xf numFmtId="0" fontId="15" fillId="12" borderId="18" xfId="0" applyFont="1" applyFill="1" applyBorder="1" applyAlignment="1" applyProtection="1">
      <alignment vertical="center"/>
      <protection locked="0"/>
    </xf>
    <xf numFmtId="0" fontId="10" fillId="13" borderId="1" xfId="0" applyFont="1" applyFill="1" applyBorder="1" applyProtection="1"/>
    <xf numFmtId="0" fontId="3" fillId="0" borderId="2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/>
    </xf>
    <xf numFmtId="0" fontId="3" fillId="0" borderId="29" xfId="0" applyFont="1" applyBorder="1" applyAlignment="1" applyProtection="1">
      <alignment horizontal="center"/>
    </xf>
    <xf numFmtId="0" fontId="0" fillId="0" borderId="0" xfId="0" applyProtection="1">
      <protection locked="0"/>
    </xf>
    <xf numFmtId="0" fontId="3" fillId="0" borderId="0" xfId="0" applyFont="1" applyBorder="1" applyAlignment="1" applyProtection="1">
      <alignment horizontal="center"/>
    </xf>
    <xf numFmtId="0" fontId="0" fillId="0" borderId="0" xfId="0" applyProtection="1"/>
    <xf numFmtId="0" fontId="0" fillId="2" borderId="28" xfId="0" applyFill="1" applyBorder="1" applyAlignment="1" applyProtection="1">
      <alignment horizontal="center"/>
    </xf>
    <xf numFmtId="0" fontId="0" fillId="3" borderId="29" xfId="0" applyFill="1" applyBorder="1" applyAlignment="1" applyProtection="1">
      <alignment horizontal="center"/>
    </xf>
    <xf numFmtId="0" fontId="0" fillId="4" borderId="29" xfId="0" applyFill="1" applyBorder="1" applyAlignment="1" applyProtection="1">
      <alignment horizontal="center"/>
    </xf>
    <xf numFmtId="0" fontId="4" fillId="16" borderId="29" xfId="0" applyFont="1" applyFill="1" applyBorder="1" applyAlignment="1" applyProtection="1">
      <alignment horizontal="center"/>
    </xf>
    <xf numFmtId="0" fontId="0" fillId="5" borderId="29" xfId="0" applyFill="1" applyBorder="1" applyAlignment="1" applyProtection="1">
      <alignment horizontal="center"/>
    </xf>
    <xf numFmtId="0" fontId="0" fillId="17" borderId="29" xfId="0" applyFill="1" applyBorder="1" applyAlignment="1" applyProtection="1">
      <alignment horizontal="center"/>
    </xf>
    <xf numFmtId="0" fontId="0" fillId="18" borderId="29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0" fillId="8" borderId="29" xfId="0" applyFill="1" applyBorder="1" applyAlignment="1" applyProtection="1">
      <alignment horizontal="center"/>
    </xf>
    <xf numFmtId="0" fontId="0" fillId="6" borderId="29" xfId="0" applyFill="1" applyBorder="1" applyAlignment="1" applyProtection="1">
      <alignment horizontal="center"/>
    </xf>
    <xf numFmtId="0" fontId="0" fillId="9" borderId="29" xfId="0" applyFill="1" applyBorder="1" applyAlignment="1" applyProtection="1">
      <alignment horizontal="center"/>
    </xf>
    <xf numFmtId="0" fontId="0" fillId="13" borderId="29" xfId="0" applyFill="1" applyBorder="1" applyAlignment="1" applyProtection="1">
      <alignment horizontal="center"/>
    </xf>
    <xf numFmtId="0" fontId="0" fillId="11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44" fontId="0" fillId="0" borderId="1" xfId="1" applyFont="1" applyBorder="1" applyAlignment="1" applyProtection="1">
      <alignment horizontal="center"/>
    </xf>
    <xf numFmtId="0" fontId="4" fillId="13" borderId="0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4" fontId="0" fillId="0" borderId="0" xfId="1" applyFont="1" applyAlignment="1" applyProtection="1">
      <alignment horizontal="center"/>
    </xf>
    <xf numFmtId="0" fontId="0" fillId="7" borderId="29" xfId="0" applyFill="1" applyBorder="1" applyAlignment="1" applyProtection="1">
      <alignment horizontal="center"/>
    </xf>
    <xf numFmtId="0" fontId="0" fillId="11" borderId="30" xfId="0" applyFill="1" applyBorder="1" applyAlignment="1" applyProtection="1">
      <alignment horizontal="center"/>
    </xf>
    <xf numFmtId="0" fontId="3" fillId="13" borderId="2" xfId="0" applyFont="1" applyFill="1" applyBorder="1" applyAlignment="1" applyProtection="1">
      <alignment horizontal="center" vertical="center"/>
    </xf>
    <xf numFmtId="0" fontId="3" fillId="13" borderId="40" xfId="0" applyFont="1" applyFill="1" applyBorder="1" applyAlignment="1" applyProtection="1">
      <alignment horizontal="center"/>
    </xf>
    <xf numFmtId="0" fontId="3" fillId="13" borderId="3" xfId="0" applyFont="1" applyFill="1" applyBorder="1" applyAlignment="1" applyProtection="1">
      <alignment horizontal="center" vertical="center"/>
    </xf>
    <xf numFmtId="44" fontId="0" fillId="13" borderId="3" xfId="1" applyFont="1" applyFill="1" applyBorder="1" applyAlignment="1" applyProtection="1">
      <alignment vertical="center"/>
    </xf>
    <xf numFmtId="0" fontId="0" fillId="13" borderId="3" xfId="0" applyFill="1" applyBorder="1" applyAlignment="1" applyProtection="1">
      <alignment vertical="center"/>
    </xf>
    <xf numFmtId="164" fontId="0" fillId="13" borderId="4" xfId="1" applyNumberFormat="1" applyFont="1" applyFill="1" applyBorder="1" applyAlignment="1" applyProtection="1">
      <alignment vertical="center"/>
    </xf>
    <xf numFmtId="0" fontId="0" fillId="13" borderId="1" xfId="0" applyFill="1" applyBorder="1" applyAlignment="1" applyProtection="1">
      <alignment vertical="center"/>
      <protection locked="0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 vertical="center"/>
      <protection locked="0"/>
    </xf>
    <xf numFmtId="0" fontId="4" fillId="16" borderId="3" xfId="0" applyFont="1" applyFill="1" applyBorder="1" applyAlignment="1" applyProtection="1">
      <alignment horizontal="center" vertical="center"/>
      <protection locked="0"/>
    </xf>
    <xf numFmtId="0" fontId="4" fillId="16" borderId="1" xfId="0" applyFont="1" applyFill="1" applyBorder="1" applyAlignment="1" applyProtection="1">
      <alignment horizontal="center" vertical="center"/>
      <protection locked="0"/>
    </xf>
    <xf numFmtId="0" fontId="4" fillId="16" borderId="8" xfId="0" applyFont="1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7" borderId="8" xfId="0" applyFill="1" applyBorder="1" applyAlignment="1" applyProtection="1">
      <alignment horizontal="center" vertical="center"/>
      <protection locked="0"/>
    </xf>
    <xf numFmtId="0" fontId="0" fillId="18" borderId="3" xfId="0" applyFill="1" applyBorder="1" applyAlignment="1" applyProtection="1">
      <alignment horizontal="center" vertical="center"/>
      <protection locked="0"/>
    </xf>
    <xf numFmtId="0" fontId="0" fillId="18" borderId="1" xfId="0" applyFill="1" applyBorder="1" applyAlignment="1" applyProtection="1">
      <alignment horizontal="center" vertical="center"/>
      <protection locked="0"/>
    </xf>
    <xf numFmtId="0" fontId="0" fillId="18" borderId="8" xfId="0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10" borderId="1" xfId="0" applyFill="1" applyBorder="1" applyAlignment="1" applyProtection="1">
      <alignment horizontal="center" vertical="center"/>
      <protection locked="0"/>
    </xf>
    <xf numFmtId="0" fontId="0" fillId="10" borderId="8" xfId="0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8" xfId="0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0" fontId="4" fillId="13" borderId="1" xfId="0" applyFont="1" applyFill="1" applyBorder="1" applyAlignment="1" applyProtection="1">
      <alignment horizontal="center" vertical="center"/>
      <protection locked="0"/>
    </xf>
    <xf numFmtId="164" fontId="0" fillId="0" borderId="3" xfId="1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8" xfId="0" applyNumberFormat="1" applyBorder="1" applyAlignment="1">
      <alignment vertical="center"/>
    </xf>
    <xf numFmtId="0" fontId="0" fillId="13" borderId="0" xfId="0" applyFill="1" applyBorder="1" applyAlignment="1" applyProtection="1">
      <alignment horizontal="center"/>
    </xf>
    <xf numFmtId="0" fontId="9" fillId="13" borderId="0" xfId="0" applyFont="1" applyFill="1" applyBorder="1"/>
    <xf numFmtId="0" fontId="0" fillId="0" borderId="0" xfId="0" applyBorder="1" applyAlignment="1" applyProtection="1">
      <alignment horizontal="center"/>
    </xf>
    <xf numFmtId="44" fontId="0" fillId="0" borderId="0" xfId="1" applyFont="1" applyBorder="1" applyAlignment="1" applyProtection="1">
      <alignment horizontal="center"/>
    </xf>
    <xf numFmtId="0" fontId="0" fillId="11" borderId="29" xfId="0" applyFill="1" applyBorder="1" applyAlignment="1" applyProtection="1">
      <alignment horizontal="center"/>
    </xf>
    <xf numFmtId="0" fontId="0" fillId="0" borderId="29" xfId="0" applyBorder="1" applyAlignment="1" applyProtection="1">
      <alignment horizontal="center"/>
    </xf>
    <xf numFmtId="164" fontId="0" fillId="0" borderId="30" xfId="1" applyNumberFormat="1" applyFont="1" applyBorder="1" applyAlignment="1" applyProtection="1">
      <alignment horizontal="center"/>
    </xf>
    <xf numFmtId="0" fontId="0" fillId="0" borderId="13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164" fontId="3" fillId="0" borderId="30" xfId="0" applyNumberFormat="1" applyFont="1" applyBorder="1" applyAlignment="1">
      <alignment horizontal="center"/>
    </xf>
    <xf numFmtId="0" fontId="9" fillId="6" borderId="27" xfId="0" applyFont="1" applyFill="1" applyBorder="1"/>
    <xf numFmtId="0" fontId="9" fillId="3" borderId="27" xfId="0" applyFont="1" applyFill="1" applyBorder="1"/>
    <xf numFmtId="0" fontId="9" fillId="2" borderId="27" xfId="0" applyFont="1" applyFill="1" applyBorder="1"/>
    <xf numFmtId="0" fontId="9" fillId="4" borderId="27" xfId="0" applyFont="1" applyFill="1" applyBorder="1"/>
    <xf numFmtId="0" fontId="18" fillId="11" borderId="27" xfId="0" applyFont="1" applyFill="1" applyBorder="1"/>
    <xf numFmtId="0" fontId="9" fillId="8" borderId="27" xfId="0" applyFont="1" applyFill="1" applyBorder="1"/>
    <xf numFmtId="0" fontId="0" fillId="13" borderId="0" xfId="0" applyFill="1" applyBorder="1" applyAlignment="1" applyProtection="1">
      <alignment horizontal="center"/>
    </xf>
    <xf numFmtId="0" fontId="0" fillId="13" borderId="0" xfId="0" applyFill="1" applyBorder="1" applyAlignment="1">
      <alignment horizontal="center"/>
    </xf>
    <xf numFmtId="0" fontId="3" fillId="13" borderId="8" xfId="0" applyFont="1" applyFill="1" applyBorder="1" applyAlignment="1" applyProtection="1">
      <alignment horizontal="center"/>
    </xf>
    <xf numFmtId="164" fontId="0" fillId="13" borderId="18" xfId="0" applyNumberFormat="1" applyFill="1" applyBorder="1" applyProtection="1"/>
    <xf numFmtId="0" fontId="3" fillId="0" borderId="38" xfId="0" applyFont="1" applyBorder="1" applyAlignment="1">
      <alignment horizontal="center"/>
    </xf>
    <xf numFmtId="0" fontId="3" fillId="14" borderId="31" xfId="0" applyFont="1" applyFill="1" applyBorder="1" applyAlignment="1" applyProtection="1">
      <alignment horizontal="center"/>
    </xf>
    <xf numFmtId="0" fontId="3" fillId="14" borderId="7" xfId="0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13" borderId="0" xfId="0" applyFill="1" applyBorder="1" applyAlignment="1" applyProtection="1">
      <alignment horizontal="center" vertical="center"/>
    </xf>
    <xf numFmtId="164" fontId="0" fillId="13" borderId="3" xfId="0" applyNumberFormat="1" applyFill="1" applyBorder="1" applyAlignment="1" applyProtection="1">
      <alignment vertical="center"/>
    </xf>
    <xf numFmtId="164" fontId="0" fillId="13" borderId="1" xfId="0" applyNumberFormat="1" applyFill="1" applyBorder="1" applyAlignment="1" applyProtection="1">
      <alignment vertical="center"/>
    </xf>
    <xf numFmtId="164" fontId="0" fillId="14" borderId="1" xfId="0" applyNumberFormat="1" applyFill="1" applyBorder="1" applyAlignment="1" applyProtection="1">
      <alignment vertical="center"/>
    </xf>
    <xf numFmtId="0" fontId="3" fillId="14" borderId="8" xfId="0" applyFont="1" applyFill="1" applyBorder="1" applyAlignment="1" applyProtection="1">
      <alignment horizontal="center" vertical="center"/>
    </xf>
    <xf numFmtId="164" fontId="0" fillId="14" borderId="8" xfId="0" applyNumberFormat="1" applyFill="1" applyBorder="1" applyAlignment="1" applyProtection="1">
      <alignment vertical="center"/>
    </xf>
    <xf numFmtId="0" fontId="0" fillId="13" borderId="0" xfId="0" applyFill="1" applyBorder="1" applyAlignment="1" applyProtection="1">
      <alignment vertical="center"/>
    </xf>
    <xf numFmtId="0" fontId="3" fillId="13" borderId="16" xfId="0" applyFont="1" applyFill="1" applyBorder="1" applyAlignment="1" applyProtection="1">
      <alignment horizontal="center" vertical="center"/>
    </xf>
    <xf numFmtId="0" fontId="0" fillId="13" borderId="16" xfId="0" applyFill="1" applyBorder="1" applyAlignment="1" applyProtection="1">
      <alignment horizontal="center" vertical="center"/>
    </xf>
    <xf numFmtId="164" fontId="0" fillId="13" borderId="18" xfId="0" applyNumberFormat="1" applyFill="1" applyBorder="1" applyAlignment="1" applyProtection="1">
      <alignment vertical="center"/>
    </xf>
    <xf numFmtId="164" fontId="0" fillId="13" borderId="8" xfId="0" applyNumberFormat="1" applyFill="1" applyBorder="1" applyAlignment="1" applyProtection="1">
      <alignment vertical="center"/>
    </xf>
    <xf numFmtId="0" fontId="0" fillId="2" borderId="3" xfId="0" applyFill="1" applyBorder="1" applyAlignment="1" applyProtection="1">
      <alignment vertical="center"/>
      <protection locked="0"/>
    </xf>
    <xf numFmtId="0" fontId="0" fillId="3" borderId="3" xfId="0" applyFill="1" applyBorder="1" applyAlignment="1" applyProtection="1">
      <alignment vertical="center"/>
      <protection locked="0"/>
    </xf>
    <xf numFmtId="0" fontId="0" fillId="4" borderId="3" xfId="0" applyFill="1" applyBorder="1" applyAlignment="1" applyProtection="1">
      <alignment vertical="center"/>
      <protection locked="0"/>
    </xf>
    <xf numFmtId="0" fontId="4" fillId="16" borderId="3" xfId="0" applyFont="1" applyFill="1" applyBorder="1" applyAlignment="1" applyProtection="1">
      <alignment vertical="center"/>
      <protection locked="0"/>
    </xf>
    <xf numFmtId="0" fontId="0" fillId="5" borderId="3" xfId="0" applyFill="1" applyBorder="1" applyAlignment="1" applyProtection="1">
      <alignment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0" fontId="0" fillId="18" borderId="3" xfId="0" applyFill="1" applyBorder="1" applyAlignment="1" applyProtection="1">
      <alignment vertical="center"/>
      <protection locked="0"/>
    </xf>
    <xf numFmtId="0" fontId="0" fillId="10" borderId="3" xfId="0" applyFill="1" applyBorder="1" applyAlignment="1" applyProtection="1">
      <alignment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0" fontId="0" fillId="6" borderId="3" xfId="0" applyFill="1" applyBorder="1" applyAlignment="1" applyProtection="1">
      <alignment vertical="center"/>
      <protection locked="0"/>
    </xf>
    <xf numFmtId="0" fontId="0" fillId="9" borderId="3" xfId="0" applyFill="1" applyBorder="1" applyAlignment="1" applyProtection="1">
      <alignment vertical="center"/>
      <protection locked="0"/>
    </xf>
    <xf numFmtId="0" fontId="0" fillId="13" borderId="3" xfId="0" applyFill="1" applyBorder="1" applyAlignment="1" applyProtection="1">
      <alignment vertical="center"/>
      <protection locked="0"/>
    </xf>
    <xf numFmtId="0" fontId="0" fillId="11" borderId="3" xfId="0" applyFill="1" applyBorder="1" applyAlignment="1" applyProtection="1">
      <alignment vertical="center"/>
      <protection locked="0"/>
    </xf>
    <xf numFmtId="164" fontId="0" fillId="13" borderId="4" xfId="0" applyNumberFormat="1" applyFill="1" applyBorder="1" applyAlignment="1" applyProtection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0" fontId="4" fillId="16" borderId="1" xfId="0" applyFont="1" applyFill="1" applyBorder="1" applyAlignment="1" applyProtection="1">
      <alignment vertical="center"/>
      <protection locked="0"/>
    </xf>
    <xf numFmtId="0" fontId="0" fillId="5" borderId="1" xfId="0" applyFill="1" applyBorder="1" applyAlignment="1" applyProtection="1">
      <alignment vertical="center"/>
      <protection locked="0"/>
    </xf>
    <xf numFmtId="0" fontId="0" fillId="7" borderId="1" xfId="0" applyFill="1" applyBorder="1" applyAlignment="1" applyProtection="1">
      <alignment vertical="center"/>
      <protection locked="0"/>
    </xf>
    <xf numFmtId="0" fontId="0" fillId="18" borderId="1" xfId="0" applyFill="1" applyBorder="1" applyAlignment="1" applyProtection="1">
      <alignment vertical="center"/>
      <protection locked="0"/>
    </xf>
    <xf numFmtId="0" fontId="0" fillId="10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0" fillId="6" borderId="1" xfId="0" applyFill="1" applyBorder="1" applyAlignment="1" applyProtection="1">
      <alignment vertical="center"/>
      <protection locked="0"/>
    </xf>
    <xf numFmtId="0" fontId="0" fillId="9" borderId="1" xfId="0" applyFill="1" applyBorder="1" applyAlignment="1" applyProtection="1">
      <alignment vertical="center"/>
      <protection locked="0"/>
    </xf>
    <xf numFmtId="0" fontId="0" fillId="11" borderId="1" xfId="0" applyFill="1" applyBorder="1" applyAlignment="1" applyProtection="1">
      <alignment vertical="center"/>
      <protection locked="0"/>
    </xf>
    <xf numFmtId="164" fontId="0" fillId="13" borderId="6" xfId="0" applyNumberFormat="1" applyFill="1" applyBorder="1" applyAlignment="1" applyProtection="1">
      <alignment vertical="center"/>
    </xf>
    <xf numFmtId="0" fontId="0" fillId="14" borderId="6" xfId="0" applyFill="1" applyBorder="1" applyAlignment="1" applyProtection="1">
      <alignment vertical="center"/>
    </xf>
    <xf numFmtId="0" fontId="0" fillId="2" borderId="8" xfId="0" applyFill="1" applyBorder="1" applyAlignment="1" applyProtection="1">
      <alignment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0" fontId="0" fillId="4" borderId="8" xfId="0" applyFill="1" applyBorder="1" applyAlignment="1" applyProtection="1">
      <alignment vertical="center"/>
      <protection locked="0"/>
    </xf>
    <xf numFmtId="0" fontId="4" fillId="16" borderId="8" xfId="0" applyFont="1" applyFill="1" applyBorder="1" applyAlignment="1" applyProtection="1">
      <alignment vertical="center"/>
      <protection locked="0"/>
    </xf>
    <xf numFmtId="0" fontId="0" fillId="5" borderId="8" xfId="0" applyFill="1" applyBorder="1" applyAlignment="1" applyProtection="1">
      <alignment vertical="center"/>
      <protection locked="0"/>
    </xf>
    <xf numFmtId="0" fontId="0" fillId="7" borderId="8" xfId="0" applyFill="1" applyBorder="1" applyAlignment="1" applyProtection="1">
      <alignment vertical="center"/>
      <protection locked="0"/>
    </xf>
    <xf numFmtId="0" fontId="0" fillId="18" borderId="8" xfId="0" applyFill="1" applyBorder="1" applyAlignment="1" applyProtection="1">
      <alignment vertical="center"/>
      <protection locked="0"/>
    </xf>
    <xf numFmtId="0" fontId="0" fillId="10" borderId="8" xfId="0" applyFill="1" applyBorder="1" applyAlignment="1" applyProtection="1">
      <alignment vertical="center"/>
      <protection locked="0"/>
    </xf>
    <xf numFmtId="0" fontId="0" fillId="8" borderId="8" xfId="0" applyFill="1" applyBorder="1" applyAlignment="1" applyProtection="1">
      <alignment vertical="center"/>
      <protection locked="0"/>
    </xf>
    <xf numFmtId="0" fontId="0" fillId="6" borderId="8" xfId="0" applyFill="1" applyBorder="1" applyAlignment="1" applyProtection="1">
      <alignment vertical="center"/>
      <protection locked="0"/>
    </xf>
    <xf numFmtId="0" fontId="0" fillId="9" borderId="8" xfId="0" applyFill="1" applyBorder="1" applyAlignment="1" applyProtection="1">
      <alignment vertical="center"/>
      <protection locked="0"/>
    </xf>
    <xf numFmtId="0" fontId="0" fillId="13" borderId="8" xfId="0" applyFill="1" applyBorder="1" applyAlignment="1" applyProtection="1">
      <alignment vertical="center"/>
      <protection locked="0"/>
    </xf>
    <xf numFmtId="0" fontId="0" fillId="11" borderId="8" xfId="0" applyFill="1" applyBorder="1" applyAlignment="1" applyProtection="1">
      <alignment vertical="center"/>
      <protection locked="0"/>
    </xf>
    <xf numFmtId="0" fontId="0" fillId="14" borderId="8" xfId="0" applyFill="1" applyBorder="1" applyAlignment="1" applyProtection="1">
      <alignment vertical="center"/>
    </xf>
    <xf numFmtId="0" fontId="0" fillId="14" borderId="9" xfId="0" applyFill="1" applyBorder="1" applyAlignment="1" applyProtection="1">
      <alignment vertical="center"/>
    </xf>
    <xf numFmtId="0" fontId="4" fillId="0" borderId="0" xfId="0" applyFont="1" applyAlignment="1">
      <alignment vertical="center"/>
    </xf>
    <xf numFmtId="0" fontId="0" fillId="13" borderId="0" xfId="0" applyFill="1" applyBorder="1" applyAlignment="1" applyProtection="1">
      <alignment vertical="center"/>
      <protection locked="0"/>
    </xf>
    <xf numFmtId="0" fontId="4" fillId="13" borderId="0" xfId="0" applyFont="1" applyFill="1" applyBorder="1" applyAlignment="1" applyProtection="1">
      <alignment vertical="center"/>
      <protection locked="0"/>
    </xf>
    <xf numFmtId="0" fontId="0" fillId="2" borderId="18" xfId="0" applyFill="1" applyBorder="1" applyAlignment="1" applyProtection="1">
      <alignment vertical="center"/>
      <protection locked="0"/>
    </xf>
    <xf numFmtId="0" fontId="0" fillId="3" borderId="18" xfId="0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0" fontId="4" fillId="16" borderId="18" xfId="0" applyFont="1" applyFill="1" applyBorder="1" applyAlignment="1" applyProtection="1">
      <alignment vertical="center"/>
      <protection locked="0"/>
    </xf>
    <xf numFmtId="0" fontId="0" fillId="5" borderId="18" xfId="0" applyFill="1" applyBorder="1" applyAlignment="1" applyProtection="1">
      <alignment vertical="center"/>
      <protection locked="0"/>
    </xf>
    <xf numFmtId="0" fontId="0" fillId="7" borderId="18" xfId="0" applyFill="1" applyBorder="1" applyAlignment="1" applyProtection="1">
      <alignment vertical="center"/>
      <protection locked="0"/>
    </xf>
    <xf numFmtId="0" fontId="0" fillId="18" borderId="18" xfId="0" applyFill="1" applyBorder="1" applyAlignment="1" applyProtection="1">
      <alignment vertical="center"/>
      <protection locked="0"/>
    </xf>
    <xf numFmtId="0" fontId="0" fillId="10" borderId="18" xfId="0" applyFill="1" applyBorder="1" applyAlignment="1" applyProtection="1">
      <alignment vertical="center"/>
      <protection locked="0"/>
    </xf>
    <xf numFmtId="0" fontId="0" fillId="8" borderId="18" xfId="0" applyFill="1" applyBorder="1" applyAlignment="1" applyProtection="1">
      <alignment vertical="center"/>
      <protection locked="0"/>
    </xf>
    <xf numFmtId="0" fontId="0" fillId="6" borderId="18" xfId="0" applyFill="1" applyBorder="1" applyAlignment="1" applyProtection="1">
      <alignment vertical="center"/>
      <protection locked="0"/>
    </xf>
    <xf numFmtId="0" fontId="0" fillId="9" borderId="18" xfId="0" applyFill="1" applyBorder="1" applyAlignment="1" applyProtection="1">
      <alignment vertical="center"/>
      <protection locked="0"/>
    </xf>
    <xf numFmtId="0" fontId="0" fillId="13" borderId="18" xfId="0" applyFill="1" applyBorder="1" applyAlignment="1" applyProtection="1">
      <alignment vertical="center"/>
      <protection locked="0"/>
    </xf>
    <xf numFmtId="0" fontId="0" fillId="11" borderId="18" xfId="0" applyFill="1" applyBorder="1" applyAlignment="1" applyProtection="1">
      <alignment vertical="center"/>
      <protection locked="0"/>
    </xf>
    <xf numFmtId="164" fontId="0" fillId="13" borderId="20" xfId="0" applyNumberFormat="1" applyFill="1" applyBorder="1" applyAlignment="1" applyProtection="1">
      <alignment vertical="center"/>
    </xf>
    <xf numFmtId="0" fontId="0" fillId="13" borderId="8" xfId="0" applyFill="1" applyBorder="1" applyAlignment="1" applyProtection="1">
      <alignment vertical="center"/>
    </xf>
    <xf numFmtId="164" fontId="0" fillId="13" borderId="9" xfId="0" applyNumberFormat="1" applyFill="1" applyBorder="1" applyAlignment="1" applyProtection="1">
      <alignment vertical="center"/>
    </xf>
    <xf numFmtId="0" fontId="0" fillId="13" borderId="18" xfId="0" applyFill="1" applyBorder="1"/>
    <xf numFmtId="164" fontId="0" fillId="13" borderId="9" xfId="1" applyNumberFormat="1" applyFont="1" applyFill="1" applyBorder="1" applyAlignment="1" applyProtection="1">
      <alignment vertical="center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2" fillId="16" borderId="8" xfId="0" applyFont="1" applyFill="1" applyBorder="1" applyAlignment="1" applyProtection="1">
      <alignment horizontal="center" vertical="center"/>
      <protection locked="0"/>
    </xf>
    <xf numFmtId="0" fontId="3" fillId="5" borderId="8" xfId="0" applyFont="1" applyFill="1" applyBorder="1" applyAlignment="1" applyProtection="1">
      <alignment horizontal="center" vertical="center"/>
      <protection locked="0"/>
    </xf>
    <xf numFmtId="0" fontId="3" fillId="7" borderId="8" xfId="0" applyFont="1" applyFill="1" applyBorder="1" applyAlignment="1" applyProtection="1">
      <alignment horizontal="center" vertical="center"/>
      <protection locked="0"/>
    </xf>
    <xf numFmtId="0" fontId="3" fillId="18" borderId="8" xfId="0" applyFont="1" applyFill="1" applyBorder="1" applyAlignment="1" applyProtection="1">
      <alignment horizontal="center" vertical="center"/>
      <protection locked="0"/>
    </xf>
    <xf numFmtId="0" fontId="3" fillId="10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6" borderId="8" xfId="0" applyFont="1" applyFill="1" applyBorder="1" applyAlignment="1" applyProtection="1">
      <alignment horizontal="center" vertical="center"/>
      <protection locked="0"/>
    </xf>
    <xf numFmtId="0" fontId="3" fillId="9" borderId="8" xfId="0" applyFont="1" applyFill="1" applyBorder="1" applyAlignment="1" applyProtection="1">
      <alignment horizontal="center" vertical="center"/>
      <protection locked="0"/>
    </xf>
    <xf numFmtId="0" fontId="3" fillId="13" borderId="8" xfId="0" applyFont="1" applyFill="1" applyBorder="1" applyAlignment="1" applyProtection="1">
      <alignment horizontal="center" vertical="center"/>
      <protection locked="0"/>
    </xf>
    <xf numFmtId="0" fontId="2" fillId="11" borderId="8" xfId="0" applyFont="1" applyFill="1" applyBorder="1" applyAlignment="1" applyProtection="1">
      <alignment horizontal="center" vertical="center"/>
      <protection locked="0"/>
    </xf>
    <xf numFmtId="0" fontId="3" fillId="2" borderId="42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2" fillId="16" borderId="43" xfId="0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7" borderId="43" xfId="0" applyFont="1" applyFill="1" applyBorder="1" applyAlignment="1">
      <alignment horizontal="center" vertical="center"/>
    </xf>
    <xf numFmtId="0" fontId="3" fillId="18" borderId="43" xfId="0" applyFont="1" applyFill="1" applyBorder="1" applyAlignment="1">
      <alignment horizontal="center" vertical="center"/>
    </xf>
    <xf numFmtId="0" fontId="3" fillId="10" borderId="43" xfId="0" applyFont="1" applyFill="1" applyBorder="1" applyAlignment="1">
      <alignment horizontal="center" vertical="center"/>
    </xf>
    <xf numFmtId="0" fontId="3" fillId="8" borderId="43" xfId="0" applyFont="1" applyFill="1" applyBorder="1" applyAlignment="1">
      <alignment horizontal="center" vertical="center"/>
    </xf>
    <xf numFmtId="0" fontId="3" fillId="6" borderId="43" xfId="0" applyFont="1" applyFill="1" applyBorder="1" applyAlignment="1">
      <alignment horizontal="center" vertical="center"/>
    </xf>
    <xf numFmtId="0" fontId="3" fillId="9" borderId="43" xfId="0" applyFont="1" applyFill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2" fillId="11" borderId="4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7" fillId="13" borderId="0" xfId="0" applyFont="1" applyFill="1" applyBorder="1" applyAlignment="1" applyProtection="1">
      <alignment horizontal="center"/>
    </xf>
    <xf numFmtId="0" fontId="5" fillId="20" borderId="0" xfId="0" applyFont="1" applyFill="1" applyAlignment="1">
      <alignment horizontal="center"/>
    </xf>
    <xf numFmtId="44" fontId="3" fillId="0" borderId="24" xfId="0" applyNumberFormat="1" applyFont="1" applyBorder="1" applyAlignment="1">
      <alignment horizontal="center"/>
    </xf>
    <xf numFmtId="44" fontId="3" fillId="0" borderId="25" xfId="0" applyNumberFormat="1" applyFont="1" applyBorder="1" applyAlignment="1">
      <alignment horizontal="center"/>
    </xf>
    <xf numFmtId="0" fontId="3" fillId="19" borderId="23" xfId="0" applyFont="1" applyFill="1" applyBorder="1" applyAlignment="1">
      <alignment horizontal="center"/>
    </xf>
    <xf numFmtId="0" fontId="3" fillId="19" borderId="24" xfId="0" applyFont="1" applyFill="1" applyBorder="1" applyAlignment="1">
      <alignment horizontal="center"/>
    </xf>
    <xf numFmtId="0" fontId="3" fillId="19" borderId="25" xfId="0" applyFont="1" applyFill="1" applyBorder="1" applyAlignment="1">
      <alignment horizontal="center"/>
    </xf>
    <xf numFmtId="0" fontId="9" fillId="20" borderId="0" xfId="0" applyFont="1" applyFill="1" applyAlignment="1">
      <alignment horizontal="center"/>
    </xf>
    <xf numFmtId="0" fontId="14" fillId="20" borderId="0" xfId="0" applyFont="1" applyFill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0" fillId="0" borderId="28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0" xfId="0" applyBorder="1" applyProtection="1">
      <protection locked="0"/>
    </xf>
    <xf numFmtId="0" fontId="11" fillId="0" borderId="0" xfId="0" applyFont="1" applyAlignment="1">
      <alignment horizontal="center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0" fillId="0" borderId="32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5" fillId="0" borderId="0" xfId="0" applyFont="1" applyAlignment="1">
      <alignment horizontal="center"/>
    </xf>
    <xf numFmtId="0" fontId="3" fillId="13" borderId="0" xfId="0" applyFont="1" applyFill="1" applyBorder="1" applyAlignment="1" applyProtection="1">
      <alignment horizontal="center" vertical="center"/>
    </xf>
    <xf numFmtId="0" fontId="0" fillId="13" borderId="0" xfId="0" applyFill="1" applyBorder="1" applyAlignment="1" applyProtection="1">
      <alignment horizontal="center" vertical="center"/>
    </xf>
    <xf numFmtId="0" fontId="12" fillId="13" borderId="0" xfId="0" applyFont="1" applyFill="1" applyAlignment="1">
      <alignment horizontal="center"/>
    </xf>
    <xf numFmtId="0" fontId="5" fillId="13" borderId="0" xfId="0" applyFont="1" applyFill="1" applyAlignment="1" applyProtection="1">
      <alignment horizontal="center"/>
    </xf>
    <xf numFmtId="0" fontId="15" fillId="0" borderId="0" xfId="0" applyFont="1" applyAlignment="1">
      <alignment horizontal="center"/>
    </xf>
    <xf numFmtId="0" fontId="0" fillId="19" borderId="16" xfId="0" applyFill="1" applyBorder="1" applyAlignment="1">
      <alignment horizontal="center"/>
    </xf>
    <xf numFmtId="0" fontId="12" fillId="13" borderId="0" xfId="0" applyFont="1" applyFill="1" applyAlignment="1" applyProtection="1">
      <alignment horizontal="center"/>
    </xf>
    <xf numFmtId="0" fontId="13" fillId="13" borderId="0" xfId="0" applyFont="1" applyFill="1" applyAlignment="1" applyProtection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66FF"/>
      <color rgb="FFCC00FF"/>
      <color rgb="FFFF0066"/>
      <color rgb="FF66FF66"/>
      <color rgb="FF66FF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microsoft.com/office/2007/relationships/hdphoto" Target="../media/hdphoto3.wdp"/><Relationship Id="rId3" Type="http://schemas.openxmlformats.org/officeDocument/2006/relationships/image" Target="../media/image3.jpeg"/><Relationship Id="rId21" Type="http://schemas.openxmlformats.org/officeDocument/2006/relationships/image" Target="../media/image1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5.png"/><Relationship Id="rId2" Type="http://schemas.openxmlformats.org/officeDocument/2006/relationships/image" Target="../media/image2.jpeg"/><Relationship Id="rId16" Type="http://schemas.microsoft.com/office/2007/relationships/hdphoto" Target="../media/hdphoto2.wdp"/><Relationship Id="rId20" Type="http://schemas.microsoft.com/office/2007/relationships/hdphoto" Target="../media/hdphoto4.wd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jpeg"/><Relationship Id="rId19" Type="http://schemas.openxmlformats.org/officeDocument/2006/relationships/image" Target="../media/image1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microsoft.com/office/2007/relationships/hdphoto" Target="../media/hdphoto1.wdp"/><Relationship Id="rId22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microsoft.com/office/2007/relationships/hdphoto" Target="../media/hdphoto12.wdp"/><Relationship Id="rId26" Type="http://schemas.microsoft.com/office/2007/relationships/hdphoto" Target="../media/hdphoto16.wdp"/><Relationship Id="rId39" Type="http://schemas.openxmlformats.org/officeDocument/2006/relationships/image" Target="../media/image39.png"/><Relationship Id="rId3" Type="http://schemas.openxmlformats.org/officeDocument/2006/relationships/image" Target="../media/image20.jpeg"/><Relationship Id="rId21" Type="http://schemas.openxmlformats.org/officeDocument/2006/relationships/image" Target="../media/image30.png"/><Relationship Id="rId34" Type="http://schemas.microsoft.com/office/2007/relationships/hdphoto" Target="../media/hdphoto20.wdp"/><Relationship Id="rId42" Type="http://schemas.microsoft.com/office/2007/relationships/hdphoto" Target="../media/hdphoto24.wdp"/><Relationship Id="rId47" Type="http://schemas.microsoft.com/office/2007/relationships/hdphoto" Target="../media/hdphoto26.wdp"/><Relationship Id="rId7" Type="http://schemas.openxmlformats.org/officeDocument/2006/relationships/image" Target="../media/image23.png"/><Relationship Id="rId12" Type="http://schemas.microsoft.com/office/2007/relationships/hdphoto" Target="../media/hdphoto9.wdp"/><Relationship Id="rId17" Type="http://schemas.openxmlformats.org/officeDocument/2006/relationships/image" Target="../media/image28.png"/><Relationship Id="rId25" Type="http://schemas.openxmlformats.org/officeDocument/2006/relationships/image" Target="../media/image32.png"/><Relationship Id="rId33" Type="http://schemas.openxmlformats.org/officeDocument/2006/relationships/image" Target="../media/image36.png"/><Relationship Id="rId38" Type="http://schemas.microsoft.com/office/2007/relationships/hdphoto" Target="../media/hdphoto22.wdp"/><Relationship Id="rId46" Type="http://schemas.openxmlformats.org/officeDocument/2006/relationships/image" Target="../media/image43.png"/><Relationship Id="rId2" Type="http://schemas.openxmlformats.org/officeDocument/2006/relationships/image" Target="../media/image19.jpeg"/><Relationship Id="rId16" Type="http://schemas.microsoft.com/office/2007/relationships/hdphoto" Target="../media/hdphoto11.wdp"/><Relationship Id="rId20" Type="http://schemas.microsoft.com/office/2007/relationships/hdphoto" Target="../media/hdphoto13.wdp"/><Relationship Id="rId29" Type="http://schemas.openxmlformats.org/officeDocument/2006/relationships/image" Target="../media/image34.png"/><Relationship Id="rId41" Type="http://schemas.openxmlformats.org/officeDocument/2006/relationships/image" Target="../media/image40.pn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11" Type="http://schemas.openxmlformats.org/officeDocument/2006/relationships/image" Target="../media/image25.png"/><Relationship Id="rId24" Type="http://schemas.microsoft.com/office/2007/relationships/hdphoto" Target="../media/hdphoto15.wdp"/><Relationship Id="rId32" Type="http://schemas.microsoft.com/office/2007/relationships/hdphoto" Target="../media/hdphoto19.wdp"/><Relationship Id="rId37" Type="http://schemas.openxmlformats.org/officeDocument/2006/relationships/image" Target="../media/image38.png"/><Relationship Id="rId40" Type="http://schemas.microsoft.com/office/2007/relationships/hdphoto" Target="../media/hdphoto23.wdp"/><Relationship Id="rId45" Type="http://schemas.openxmlformats.org/officeDocument/2006/relationships/image" Target="../media/image42.png"/><Relationship Id="rId5" Type="http://schemas.microsoft.com/office/2007/relationships/hdphoto" Target="../media/hdphoto6.wdp"/><Relationship Id="rId15" Type="http://schemas.openxmlformats.org/officeDocument/2006/relationships/image" Target="../media/image27.png"/><Relationship Id="rId23" Type="http://schemas.openxmlformats.org/officeDocument/2006/relationships/image" Target="../media/image31.png"/><Relationship Id="rId28" Type="http://schemas.microsoft.com/office/2007/relationships/hdphoto" Target="../media/hdphoto17.wdp"/><Relationship Id="rId36" Type="http://schemas.microsoft.com/office/2007/relationships/hdphoto" Target="../media/hdphoto21.wdp"/><Relationship Id="rId49" Type="http://schemas.microsoft.com/office/2007/relationships/hdphoto" Target="../media/hdphoto27.wdp"/><Relationship Id="rId10" Type="http://schemas.microsoft.com/office/2007/relationships/hdphoto" Target="../media/hdphoto8.wdp"/><Relationship Id="rId19" Type="http://schemas.openxmlformats.org/officeDocument/2006/relationships/image" Target="../media/image29.png"/><Relationship Id="rId31" Type="http://schemas.openxmlformats.org/officeDocument/2006/relationships/image" Target="../media/image35.png"/><Relationship Id="rId44" Type="http://schemas.microsoft.com/office/2007/relationships/hdphoto" Target="../media/hdphoto25.wdp"/><Relationship Id="rId4" Type="http://schemas.openxmlformats.org/officeDocument/2006/relationships/image" Target="../media/image21.png"/><Relationship Id="rId9" Type="http://schemas.openxmlformats.org/officeDocument/2006/relationships/image" Target="../media/image24.png"/><Relationship Id="rId14" Type="http://schemas.microsoft.com/office/2007/relationships/hdphoto" Target="../media/hdphoto10.wdp"/><Relationship Id="rId22" Type="http://schemas.microsoft.com/office/2007/relationships/hdphoto" Target="../media/hdphoto14.wdp"/><Relationship Id="rId27" Type="http://schemas.openxmlformats.org/officeDocument/2006/relationships/image" Target="../media/image33.png"/><Relationship Id="rId30" Type="http://schemas.microsoft.com/office/2007/relationships/hdphoto" Target="../media/hdphoto18.wdp"/><Relationship Id="rId35" Type="http://schemas.openxmlformats.org/officeDocument/2006/relationships/image" Target="../media/image37.png"/><Relationship Id="rId43" Type="http://schemas.openxmlformats.org/officeDocument/2006/relationships/image" Target="../media/image41.png"/><Relationship Id="rId48" Type="http://schemas.openxmlformats.org/officeDocument/2006/relationships/image" Target="../media/image44.png"/><Relationship Id="rId8" Type="http://schemas.microsoft.com/office/2007/relationships/hdphoto" Target="../media/hdphoto7.wdp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1.wdp"/><Relationship Id="rId13" Type="http://schemas.openxmlformats.org/officeDocument/2006/relationships/image" Target="../media/image51.png"/><Relationship Id="rId18" Type="http://schemas.microsoft.com/office/2007/relationships/hdphoto" Target="../media/hdphoto36.wdp"/><Relationship Id="rId3" Type="http://schemas.openxmlformats.org/officeDocument/2006/relationships/image" Target="../media/image46.png"/><Relationship Id="rId21" Type="http://schemas.openxmlformats.org/officeDocument/2006/relationships/image" Target="../media/image55.png"/><Relationship Id="rId7" Type="http://schemas.openxmlformats.org/officeDocument/2006/relationships/image" Target="../media/image48.png"/><Relationship Id="rId12" Type="http://schemas.microsoft.com/office/2007/relationships/hdphoto" Target="../media/hdphoto33.wdp"/><Relationship Id="rId17" Type="http://schemas.openxmlformats.org/officeDocument/2006/relationships/image" Target="../media/image53.png"/><Relationship Id="rId2" Type="http://schemas.microsoft.com/office/2007/relationships/hdphoto" Target="../media/hdphoto28.wdp"/><Relationship Id="rId16" Type="http://schemas.microsoft.com/office/2007/relationships/hdphoto" Target="../media/hdphoto35.wdp"/><Relationship Id="rId20" Type="http://schemas.microsoft.com/office/2007/relationships/hdphoto" Target="../media/hdphoto37.wdp"/><Relationship Id="rId1" Type="http://schemas.openxmlformats.org/officeDocument/2006/relationships/image" Target="../media/image45.png"/><Relationship Id="rId6" Type="http://schemas.microsoft.com/office/2007/relationships/hdphoto" Target="../media/hdphoto30.wdp"/><Relationship Id="rId11" Type="http://schemas.openxmlformats.org/officeDocument/2006/relationships/image" Target="../media/image50.png"/><Relationship Id="rId24" Type="http://schemas.microsoft.com/office/2007/relationships/hdphoto" Target="../media/hdphoto39.wdp"/><Relationship Id="rId5" Type="http://schemas.openxmlformats.org/officeDocument/2006/relationships/image" Target="../media/image47.png"/><Relationship Id="rId15" Type="http://schemas.openxmlformats.org/officeDocument/2006/relationships/image" Target="../media/image52.png"/><Relationship Id="rId23" Type="http://schemas.openxmlformats.org/officeDocument/2006/relationships/image" Target="../media/image56.png"/><Relationship Id="rId10" Type="http://schemas.microsoft.com/office/2007/relationships/hdphoto" Target="../media/hdphoto32.wdp"/><Relationship Id="rId19" Type="http://schemas.openxmlformats.org/officeDocument/2006/relationships/image" Target="../media/image54.png"/><Relationship Id="rId4" Type="http://schemas.microsoft.com/office/2007/relationships/hdphoto" Target="../media/hdphoto29.wdp"/><Relationship Id="rId9" Type="http://schemas.openxmlformats.org/officeDocument/2006/relationships/image" Target="../media/image49.png"/><Relationship Id="rId14" Type="http://schemas.microsoft.com/office/2007/relationships/hdphoto" Target="../media/hdphoto34.wdp"/><Relationship Id="rId22" Type="http://schemas.microsoft.com/office/2007/relationships/hdphoto" Target="../media/hdphoto38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26" Type="http://schemas.openxmlformats.org/officeDocument/2006/relationships/image" Target="../media/image80.png"/><Relationship Id="rId3" Type="http://schemas.openxmlformats.org/officeDocument/2006/relationships/image" Target="../media/image59.jpeg"/><Relationship Id="rId21" Type="http://schemas.openxmlformats.org/officeDocument/2006/relationships/image" Target="../media/image77.pn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5" Type="http://schemas.microsoft.com/office/2007/relationships/hdphoto" Target="../media/hdphoto41.wdp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png"/><Relationship Id="rId29" Type="http://schemas.microsoft.com/office/2007/relationships/hdphoto" Target="../media/hdphoto43.wdp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24" Type="http://schemas.openxmlformats.org/officeDocument/2006/relationships/image" Target="../media/image79.pn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23" Type="http://schemas.microsoft.com/office/2007/relationships/hdphoto" Target="../media/hdphoto40.wdp"/><Relationship Id="rId28" Type="http://schemas.openxmlformats.org/officeDocument/2006/relationships/image" Target="../media/image81.png"/><Relationship Id="rId10" Type="http://schemas.openxmlformats.org/officeDocument/2006/relationships/image" Target="../media/image66.jpeg"/><Relationship Id="rId19" Type="http://schemas.openxmlformats.org/officeDocument/2006/relationships/image" Target="../media/image75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Relationship Id="rId22" Type="http://schemas.openxmlformats.org/officeDocument/2006/relationships/image" Target="../media/image78.png"/><Relationship Id="rId27" Type="http://schemas.microsoft.com/office/2007/relationships/hdphoto" Target="../media/hdphoto42.wdp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47.wdp"/><Relationship Id="rId13" Type="http://schemas.openxmlformats.org/officeDocument/2006/relationships/image" Target="../media/image88.png"/><Relationship Id="rId18" Type="http://schemas.microsoft.com/office/2007/relationships/hdphoto" Target="../media/hdphoto52.wdp"/><Relationship Id="rId26" Type="http://schemas.microsoft.com/office/2007/relationships/hdphoto" Target="../media/hdphoto56.wdp"/><Relationship Id="rId3" Type="http://schemas.openxmlformats.org/officeDocument/2006/relationships/image" Target="../media/image83.png"/><Relationship Id="rId21" Type="http://schemas.openxmlformats.org/officeDocument/2006/relationships/image" Target="../media/image92.png"/><Relationship Id="rId34" Type="http://schemas.microsoft.com/office/2007/relationships/hdphoto" Target="../media/hdphoto60.wdp"/><Relationship Id="rId7" Type="http://schemas.openxmlformats.org/officeDocument/2006/relationships/image" Target="../media/image85.png"/><Relationship Id="rId12" Type="http://schemas.microsoft.com/office/2007/relationships/hdphoto" Target="../media/hdphoto49.wdp"/><Relationship Id="rId17" Type="http://schemas.openxmlformats.org/officeDocument/2006/relationships/image" Target="../media/image90.png"/><Relationship Id="rId25" Type="http://schemas.openxmlformats.org/officeDocument/2006/relationships/image" Target="../media/image94.png"/><Relationship Id="rId33" Type="http://schemas.openxmlformats.org/officeDocument/2006/relationships/image" Target="../media/image98.png"/><Relationship Id="rId2" Type="http://schemas.microsoft.com/office/2007/relationships/hdphoto" Target="../media/hdphoto44.wdp"/><Relationship Id="rId16" Type="http://schemas.microsoft.com/office/2007/relationships/hdphoto" Target="../media/hdphoto51.wdp"/><Relationship Id="rId20" Type="http://schemas.microsoft.com/office/2007/relationships/hdphoto" Target="../media/hdphoto53.wdp"/><Relationship Id="rId29" Type="http://schemas.openxmlformats.org/officeDocument/2006/relationships/image" Target="../media/image96.png"/><Relationship Id="rId1" Type="http://schemas.openxmlformats.org/officeDocument/2006/relationships/image" Target="../media/image82.png"/><Relationship Id="rId6" Type="http://schemas.microsoft.com/office/2007/relationships/hdphoto" Target="../media/hdphoto46.wdp"/><Relationship Id="rId11" Type="http://schemas.openxmlformats.org/officeDocument/2006/relationships/image" Target="../media/image87.png"/><Relationship Id="rId24" Type="http://schemas.microsoft.com/office/2007/relationships/hdphoto" Target="../media/hdphoto55.wdp"/><Relationship Id="rId32" Type="http://schemas.microsoft.com/office/2007/relationships/hdphoto" Target="../media/hdphoto59.wdp"/><Relationship Id="rId5" Type="http://schemas.openxmlformats.org/officeDocument/2006/relationships/image" Target="../media/image84.png"/><Relationship Id="rId15" Type="http://schemas.openxmlformats.org/officeDocument/2006/relationships/image" Target="../media/image89.png"/><Relationship Id="rId23" Type="http://schemas.openxmlformats.org/officeDocument/2006/relationships/image" Target="../media/image93.png"/><Relationship Id="rId28" Type="http://schemas.microsoft.com/office/2007/relationships/hdphoto" Target="../media/hdphoto57.wdp"/><Relationship Id="rId10" Type="http://schemas.microsoft.com/office/2007/relationships/hdphoto" Target="../media/hdphoto48.wdp"/><Relationship Id="rId19" Type="http://schemas.openxmlformats.org/officeDocument/2006/relationships/image" Target="../media/image91.png"/><Relationship Id="rId31" Type="http://schemas.openxmlformats.org/officeDocument/2006/relationships/image" Target="../media/image97.png"/><Relationship Id="rId4" Type="http://schemas.microsoft.com/office/2007/relationships/hdphoto" Target="../media/hdphoto45.wdp"/><Relationship Id="rId9" Type="http://schemas.openxmlformats.org/officeDocument/2006/relationships/image" Target="../media/image86.png"/><Relationship Id="rId14" Type="http://schemas.microsoft.com/office/2007/relationships/hdphoto" Target="../media/hdphoto50.wdp"/><Relationship Id="rId22" Type="http://schemas.microsoft.com/office/2007/relationships/hdphoto" Target="../media/hdphoto54.wdp"/><Relationship Id="rId27" Type="http://schemas.openxmlformats.org/officeDocument/2006/relationships/image" Target="../media/image95.png"/><Relationship Id="rId30" Type="http://schemas.microsoft.com/office/2007/relationships/hdphoto" Target="../media/hdphoto58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10.jpeg"/><Relationship Id="rId18" Type="http://schemas.openxmlformats.org/officeDocument/2006/relationships/image" Target="../media/image115.jpeg"/><Relationship Id="rId26" Type="http://schemas.openxmlformats.org/officeDocument/2006/relationships/image" Target="../media/image121.png"/><Relationship Id="rId3" Type="http://schemas.openxmlformats.org/officeDocument/2006/relationships/image" Target="../media/image101.jpeg"/><Relationship Id="rId21" Type="http://schemas.openxmlformats.org/officeDocument/2006/relationships/image" Target="../media/image118.png"/><Relationship Id="rId7" Type="http://schemas.openxmlformats.org/officeDocument/2006/relationships/image" Target="../media/image105.jpeg"/><Relationship Id="rId12" Type="http://schemas.openxmlformats.org/officeDocument/2006/relationships/image" Target="../media/image109.jpeg"/><Relationship Id="rId17" Type="http://schemas.openxmlformats.org/officeDocument/2006/relationships/image" Target="../media/image114.jpeg"/><Relationship Id="rId25" Type="http://schemas.microsoft.com/office/2007/relationships/hdphoto" Target="../media/hdphoto63.wdp"/><Relationship Id="rId2" Type="http://schemas.openxmlformats.org/officeDocument/2006/relationships/image" Target="../media/image100.jpeg"/><Relationship Id="rId16" Type="http://schemas.openxmlformats.org/officeDocument/2006/relationships/image" Target="../media/image113.jpeg"/><Relationship Id="rId20" Type="http://schemas.openxmlformats.org/officeDocument/2006/relationships/image" Target="../media/image117.pn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11" Type="http://schemas.openxmlformats.org/officeDocument/2006/relationships/image" Target="../media/image108.jpeg"/><Relationship Id="rId24" Type="http://schemas.openxmlformats.org/officeDocument/2006/relationships/image" Target="../media/image120.png"/><Relationship Id="rId5" Type="http://schemas.openxmlformats.org/officeDocument/2006/relationships/image" Target="../media/image103.jpeg"/><Relationship Id="rId15" Type="http://schemas.openxmlformats.org/officeDocument/2006/relationships/image" Target="../media/image112.jpeg"/><Relationship Id="rId23" Type="http://schemas.microsoft.com/office/2007/relationships/hdphoto" Target="../media/hdphoto62.wdp"/><Relationship Id="rId10" Type="http://schemas.openxmlformats.org/officeDocument/2006/relationships/image" Target="../media/image107.jpeg"/><Relationship Id="rId19" Type="http://schemas.openxmlformats.org/officeDocument/2006/relationships/image" Target="../media/image116.png"/><Relationship Id="rId4" Type="http://schemas.openxmlformats.org/officeDocument/2006/relationships/image" Target="../media/image102.jpeg"/><Relationship Id="rId9" Type="http://schemas.microsoft.com/office/2007/relationships/hdphoto" Target="../media/hdphoto61.wdp"/><Relationship Id="rId14" Type="http://schemas.openxmlformats.org/officeDocument/2006/relationships/image" Target="../media/image111.jpeg"/><Relationship Id="rId22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22951</xdr:colOff>
      <xdr:row>5</xdr:row>
      <xdr:rowOff>40165</xdr:rowOff>
    </xdr:from>
    <xdr:to>
      <xdr:col>2</xdr:col>
      <xdr:colOff>1174951</xdr:colOff>
      <xdr:row>5</xdr:row>
      <xdr:rowOff>1248726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E6F2F9-BDED-4E85-8A97-DA02815E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840" y="1141852"/>
          <a:ext cx="1152000" cy="1208561"/>
        </a:xfrm>
        <a:prstGeom prst="rect">
          <a:avLst/>
        </a:prstGeom>
      </xdr:spPr>
    </xdr:pic>
    <xdr:clientData/>
  </xdr:twoCellAnchor>
  <xdr:twoCellAnchor editAs="oneCell">
    <xdr:from>
      <xdr:col>2</xdr:col>
      <xdr:colOff>34428</xdr:colOff>
      <xdr:row>8</xdr:row>
      <xdr:rowOff>63118</xdr:rowOff>
    </xdr:from>
    <xdr:to>
      <xdr:col>2</xdr:col>
      <xdr:colOff>1186428</xdr:colOff>
      <xdr:row>8</xdr:row>
      <xdr:rowOff>1215118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26E642-B4BC-42DB-BDC4-50FBC165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317" y="243289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5737</xdr:colOff>
      <xdr:row>9</xdr:row>
      <xdr:rowOff>34427</xdr:rowOff>
    </xdr:from>
    <xdr:to>
      <xdr:col>2</xdr:col>
      <xdr:colOff>1330698</xdr:colOff>
      <xdr:row>9</xdr:row>
      <xdr:rowOff>1359388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FB584-CA7C-4E8F-9403-00996A6F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575" y="3753380"/>
          <a:ext cx="1324961" cy="1324961"/>
        </a:xfrm>
        <a:prstGeom prst="rect">
          <a:avLst/>
        </a:prstGeom>
      </xdr:spPr>
    </xdr:pic>
    <xdr:clientData/>
  </xdr:twoCellAnchor>
  <xdr:twoCellAnchor editAs="oneCell">
    <xdr:from>
      <xdr:col>2</xdr:col>
      <xdr:colOff>40166</xdr:colOff>
      <xdr:row>10</xdr:row>
      <xdr:rowOff>34428</xdr:rowOff>
    </xdr:from>
    <xdr:to>
      <xdr:col>2</xdr:col>
      <xdr:colOff>1351710</xdr:colOff>
      <xdr:row>10</xdr:row>
      <xdr:rowOff>1338044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BF6DEF-BE32-4D2D-A24C-DA9F5193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004" y="5147112"/>
          <a:ext cx="1311544" cy="1303616"/>
        </a:xfrm>
        <a:prstGeom prst="rect">
          <a:avLst/>
        </a:prstGeom>
      </xdr:spPr>
    </xdr:pic>
    <xdr:clientData/>
  </xdr:twoCellAnchor>
  <xdr:twoCellAnchor editAs="oneCell">
    <xdr:from>
      <xdr:col>2</xdr:col>
      <xdr:colOff>11476</xdr:colOff>
      <xdr:row>11</xdr:row>
      <xdr:rowOff>34427</xdr:rowOff>
    </xdr:from>
    <xdr:to>
      <xdr:col>2</xdr:col>
      <xdr:colOff>1351710</xdr:colOff>
      <xdr:row>11</xdr:row>
      <xdr:rowOff>1374661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9B4EA52-5551-4748-A7E8-F056013C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14" y="6540843"/>
          <a:ext cx="1340234" cy="1340234"/>
        </a:xfrm>
        <a:prstGeom prst="rect">
          <a:avLst/>
        </a:prstGeom>
      </xdr:spPr>
    </xdr:pic>
    <xdr:clientData/>
  </xdr:twoCellAnchor>
  <xdr:twoCellAnchor editAs="oneCell">
    <xdr:from>
      <xdr:col>2</xdr:col>
      <xdr:colOff>11475</xdr:colOff>
      <xdr:row>12</xdr:row>
      <xdr:rowOff>22952</xdr:rowOff>
    </xdr:from>
    <xdr:to>
      <xdr:col>2</xdr:col>
      <xdr:colOff>1316691</xdr:colOff>
      <xdr:row>12</xdr:row>
      <xdr:rowOff>1328168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C8C57DA-DE6D-4159-A12E-5344394E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13" y="7923099"/>
          <a:ext cx="1305216" cy="1305216"/>
        </a:xfrm>
        <a:prstGeom prst="rect">
          <a:avLst/>
        </a:prstGeom>
      </xdr:spPr>
    </xdr:pic>
    <xdr:clientData/>
  </xdr:twoCellAnchor>
  <xdr:twoCellAnchor editAs="oneCell">
    <xdr:from>
      <xdr:col>2</xdr:col>
      <xdr:colOff>11476</xdr:colOff>
      <xdr:row>13</xdr:row>
      <xdr:rowOff>22952</xdr:rowOff>
    </xdr:from>
    <xdr:to>
      <xdr:col>2</xdr:col>
      <xdr:colOff>1344706</xdr:colOff>
      <xdr:row>13</xdr:row>
      <xdr:rowOff>1356182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EBC82D-9F1A-4946-9675-009963BF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14" y="9316831"/>
          <a:ext cx="1333230" cy="1333230"/>
        </a:xfrm>
        <a:prstGeom prst="rect">
          <a:avLst/>
        </a:prstGeom>
      </xdr:spPr>
    </xdr:pic>
    <xdr:clientData/>
  </xdr:twoCellAnchor>
  <xdr:twoCellAnchor editAs="oneCell">
    <xdr:from>
      <xdr:col>2</xdr:col>
      <xdr:colOff>22952</xdr:colOff>
      <xdr:row>14</xdr:row>
      <xdr:rowOff>40165</xdr:rowOff>
    </xdr:from>
    <xdr:to>
      <xdr:col>2</xdr:col>
      <xdr:colOff>1344706</xdr:colOff>
      <xdr:row>14</xdr:row>
      <xdr:rowOff>1361919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84A47BB-353A-48DF-ABD3-4E003ECC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90" y="10727775"/>
          <a:ext cx="1321754" cy="1321754"/>
        </a:xfrm>
        <a:prstGeom prst="rect">
          <a:avLst/>
        </a:prstGeom>
      </xdr:spPr>
    </xdr:pic>
    <xdr:clientData/>
  </xdr:twoCellAnchor>
  <xdr:twoCellAnchor editAs="oneCell">
    <xdr:from>
      <xdr:col>2</xdr:col>
      <xdr:colOff>11475</xdr:colOff>
      <xdr:row>15</xdr:row>
      <xdr:rowOff>22951</xdr:rowOff>
    </xdr:from>
    <xdr:to>
      <xdr:col>2</xdr:col>
      <xdr:colOff>1365716</xdr:colOff>
      <xdr:row>15</xdr:row>
      <xdr:rowOff>1377192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A4C117E-9CD6-40B3-A203-A3D1CABAB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313" y="12104294"/>
          <a:ext cx="1354241" cy="1354241"/>
        </a:xfrm>
        <a:prstGeom prst="rect">
          <a:avLst/>
        </a:prstGeom>
      </xdr:spPr>
    </xdr:pic>
    <xdr:clientData/>
  </xdr:twoCellAnchor>
  <xdr:twoCellAnchor editAs="oneCell">
    <xdr:from>
      <xdr:col>2</xdr:col>
      <xdr:colOff>5748</xdr:colOff>
      <xdr:row>16</xdr:row>
      <xdr:rowOff>45902</xdr:rowOff>
    </xdr:from>
    <xdr:to>
      <xdr:col>2</xdr:col>
      <xdr:colOff>1337701</xdr:colOff>
      <xdr:row>16</xdr:row>
      <xdr:rowOff>1376949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88E3432-0FD3-49E7-86CD-9276D0CC7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586" y="13520976"/>
          <a:ext cx="1331953" cy="1331047"/>
        </a:xfrm>
        <a:prstGeom prst="rect">
          <a:avLst/>
        </a:prstGeom>
      </xdr:spPr>
    </xdr:pic>
    <xdr:clientData/>
  </xdr:twoCellAnchor>
  <xdr:twoCellAnchor editAs="oneCell">
    <xdr:from>
      <xdr:col>2</xdr:col>
      <xdr:colOff>58488</xdr:colOff>
      <xdr:row>5</xdr:row>
      <xdr:rowOff>58172</xdr:rowOff>
    </xdr:from>
    <xdr:to>
      <xdr:col>2</xdr:col>
      <xdr:colOff>1309688</xdr:colOff>
      <xdr:row>5</xdr:row>
      <xdr:rowOff>1332155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DE3D6-6599-4D48-96E2-245400A4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326" y="989662"/>
          <a:ext cx="1251200" cy="1273983"/>
        </a:xfrm>
        <a:prstGeom prst="rect">
          <a:avLst/>
        </a:prstGeom>
      </xdr:spPr>
    </xdr:pic>
    <xdr:clientData/>
  </xdr:twoCellAnchor>
  <xdr:twoCellAnchor editAs="oneCell">
    <xdr:from>
      <xdr:col>2</xdr:col>
      <xdr:colOff>104356</xdr:colOff>
      <xdr:row>8</xdr:row>
      <xdr:rowOff>15782</xdr:rowOff>
    </xdr:from>
    <xdr:to>
      <xdr:col>2</xdr:col>
      <xdr:colOff>1337701</xdr:colOff>
      <xdr:row>8</xdr:row>
      <xdr:rowOff>1335204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4DF9E3C-7F52-4F5F-802C-1B288434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194" y="2341003"/>
          <a:ext cx="1233345" cy="1319422"/>
        </a:xfrm>
        <a:prstGeom prst="rect">
          <a:avLst/>
        </a:prstGeom>
      </xdr:spPr>
    </xdr:pic>
    <xdr:clientData/>
  </xdr:twoCellAnchor>
  <xdr:twoCellAnchor editAs="oneCell">
    <xdr:from>
      <xdr:col>2</xdr:col>
      <xdr:colOff>7004</xdr:colOff>
      <xdr:row>17</xdr:row>
      <xdr:rowOff>56029</xdr:rowOff>
    </xdr:from>
    <xdr:to>
      <xdr:col>2</xdr:col>
      <xdr:colOff>1295680</xdr:colOff>
      <xdr:row>17</xdr:row>
      <xdr:rowOff>1344705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5726C8-0769-41EA-8527-D0A2C96D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842" y="14924835"/>
          <a:ext cx="1288676" cy="1288676"/>
        </a:xfrm>
        <a:prstGeom prst="rect">
          <a:avLst/>
        </a:prstGeom>
      </xdr:spPr>
    </xdr:pic>
    <xdr:clientData/>
  </xdr:twoCellAnchor>
  <xdr:twoCellAnchor editAs="oneCell">
    <xdr:from>
      <xdr:col>2</xdr:col>
      <xdr:colOff>21011</xdr:colOff>
      <xdr:row>18</xdr:row>
      <xdr:rowOff>49026</xdr:rowOff>
    </xdr:from>
    <xdr:to>
      <xdr:col>2</xdr:col>
      <xdr:colOff>1330698</xdr:colOff>
      <xdr:row>18</xdr:row>
      <xdr:rowOff>1358713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3BDC96-2F5F-4C77-B6C6-9EF169D7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849" y="16311563"/>
          <a:ext cx="1309687" cy="1309687"/>
        </a:xfrm>
        <a:prstGeom prst="rect">
          <a:avLst/>
        </a:prstGeom>
      </xdr:spPr>
    </xdr:pic>
    <xdr:clientData/>
  </xdr:twoCellAnchor>
  <xdr:twoCellAnchor editAs="oneCell">
    <xdr:from>
      <xdr:col>2</xdr:col>
      <xdr:colOff>35019</xdr:colOff>
      <xdr:row>19</xdr:row>
      <xdr:rowOff>28015</xdr:rowOff>
    </xdr:from>
    <xdr:to>
      <xdr:col>2</xdr:col>
      <xdr:colOff>1367019</xdr:colOff>
      <xdr:row>19</xdr:row>
      <xdr:rowOff>1360015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AE86B59-905D-4798-A5A3-83E76A49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857" y="17684284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42022</xdr:colOff>
      <xdr:row>6</xdr:row>
      <xdr:rowOff>42022</xdr:rowOff>
    </xdr:from>
    <xdr:to>
      <xdr:col>2</xdr:col>
      <xdr:colOff>1386728</xdr:colOff>
      <xdr:row>6</xdr:row>
      <xdr:rowOff>1386728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86753F-D8F2-439B-8F3E-D2F15219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860" y="2430276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2</xdr:col>
      <xdr:colOff>35020</xdr:colOff>
      <xdr:row>7</xdr:row>
      <xdr:rowOff>42022</xdr:rowOff>
    </xdr:from>
    <xdr:to>
      <xdr:col>2</xdr:col>
      <xdr:colOff>1365718</xdr:colOff>
      <xdr:row>7</xdr:row>
      <xdr:rowOff>1373124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73AB31A-A13C-4817-BDC7-24D77D1D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858" y="3824007"/>
          <a:ext cx="1330698" cy="1331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35718</xdr:colOff>
      <xdr:row>7</xdr:row>
      <xdr:rowOff>35719</xdr:rowOff>
    </xdr:from>
    <xdr:to>
      <xdr:col>2</xdr:col>
      <xdr:colOff>1187718</xdr:colOff>
      <xdr:row>7</xdr:row>
      <xdr:rowOff>1187719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E9A271-3325-4451-8171-8928D799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09" y="3488532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11</xdr:row>
      <xdr:rowOff>35719</xdr:rowOff>
    </xdr:from>
    <xdr:to>
      <xdr:col>2</xdr:col>
      <xdr:colOff>1163906</xdr:colOff>
      <xdr:row>11</xdr:row>
      <xdr:rowOff>1187719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44088F-D1B2-4633-814E-D4E31758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297" y="8560594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17860</xdr:colOff>
      <xdr:row>16</xdr:row>
      <xdr:rowOff>35719</xdr:rowOff>
    </xdr:from>
    <xdr:to>
      <xdr:col>2</xdr:col>
      <xdr:colOff>1169860</xdr:colOff>
      <xdr:row>16</xdr:row>
      <xdr:rowOff>1187719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2195C1-EF97-4BA4-8AC5-13386F1A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4900673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</xdr:colOff>
      <xdr:row>7</xdr:row>
      <xdr:rowOff>41910</xdr:rowOff>
    </xdr:from>
    <xdr:to>
      <xdr:col>2</xdr:col>
      <xdr:colOff>1176765</xdr:colOff>
      <xdr:row>7</xdr:row>
      <xdr:rowOff>1193910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EBDA51-1F59-434A-A424-399DC17B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965" y="350139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25496</xdr:colOff>
      <xdr:row>16</xdr:row>
      <xdr:rowOff>43848</xdr:rowOff>
    </xdr:from>
    <xdr:to>
      <xdr:col>2</xdr:col>
      <xdr:colOff>1176680</xdr:colOff>
      <xdr:row>16</xdr:row>
      <xdr:rowOff>1195848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AFD486C-AFEB-4426-AB04-989EE29ED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918" y="14915585"/>
          <a:ext cx="1151184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24872</xdr:colOff>
      <xdr:row>11</xdr:row>
      <xdr:rowOff>42353</xdr:rowOff>
    </xdr:from>
    <xdr:to>
      <xdr:col>2</xdr:col>
      <xdr:colOff>1175160</xdr:colOff>
      <xdr:row>11</xdr:row>
      <xdr:rowOff>1194353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5FCAAC-8BE7-4DA6-9CA3-E7FA1F82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072" y="8576753"/>
          <a:ext cx="1150288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128395</xdr:colOff>
      <xdr:row>7</xdr:row>
      <xdr:rowOff>88447</xdr:rowOff>
    </xdr:from>
    <xdr:to>
      <xdr:col>2</xdr:col>
      <xdr:colOff>1564821</xdr:colOff>
      <xdr:row>7</xdr:row>
      <xdr:rowOff>1558279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EB0CD9-24F9-49F3-9C01-6C29A01F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235" y="4435930"/>
          <a:ext cx="1436426" cy="1469832"/>
        </a:xfrm>
        <a:prstGeom prst="rect">
          <a:avLst/>
        </a:prstGeom>
      </xdr:spPr>
    </xdr:pic>
    <xdr:clientData/>
  </xdr:twoCellAnchor>
  <xdr:twoCellAnchor editAs="oneCell">
    <xdr:from>
      <xdr:col>2</xdr:col>
      <xdr:colOff>168299</xdr:colOff>
      <xdr:row>11</xdr:row>
      <xdr:rowOff>123614</xdr:rowOff>
    </xdr:from>
    <xdr:to>
      <xdr:col>2</xdr:col>
      <xdr:colOff>1612444</xdr:colOff>
      <xdr:row>11</xdr:row>
      <xdr:rowOff>1471632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2A142B-8DF7-4FD2-A4BE-CCF293BB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139" y="11056954"/>
          <a:ext cx="1444145" cy="1348018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16</xdr:row>
      <xdr:rowOff>88964</xdr:rowOff>
    </xdr:from>
    <xdr:to>
      <xdr:col>2</xdr:col>
      <xdr:colOff>1413368</xdr:colOff>
      <xdr:row>16</xdr:row>
      <xdr:rowOff>1263894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9C2A36-5820-48BC-B8AB-317139D5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811" y="16391368"/>
          <a:ext cx="1375269" cy="1174930"/>
        </a:xfrm>
        <a:prstGeom prst="rect">
          <a:avLst/>
        </a:prstGeom>
      </xdr:spPr>
    </xdr:pic>
    <xdr:clientData/>
  </xdr:twoCellAnchor>
  <xdr:twoCellAnchor editAs="oneCell">
    <xdr:from>
      <xdr:col>2</xdr:col>
      <xdr:colOff>79549</xdr:colOff>
      <xdr:row>19</xdr:row>
      <xdr:rowOff>61056</xdr:rowOff>
    </xdr:from>
    <xdr:to>
      <xdr:col>2</xdr:col>
      <xdr:colOff>1605642</xdr:colOff>
      <xdr:row>19</xdr:row>
      <xdr:rowOff>1587149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1F5B0A-FB34-4CD4-932F-56DEF26BD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389" y="24166110"/>
          <a:ext cx="1526093" cy="1526093"/>
        </a:xfrm>
        <a:prstGeom prst="rect">
          <a:avLst/>
        </a:prstGeom>
      </xdr:spPr>
    </xdr:pic>
    <xdr:clientData/>
  </xdr:twoCellAnchor>
  <xdr:twoCellAnchor editAs="oneCell">
    <xdr:from>
      <xdr:col>2</xdr:col>
      <xdr:colOff>42741</xdr:colOff>
      <xdr:row>27</xdr:row>
      <xdr:rowOff>36635</xdr:rowOff>
    </xdr:from>
    <xdr:to>
      <xdr:col>2</xdr:col>
      <xdr:colOff>1374741</xdr:colOff>
      <xdr:row>27</xdr:row>
      <xdr:rowOff>1368635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5D09A32-806D-470B-AEC3-07D05121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453" y="31719472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42741</xdr:colOff>
      <xdr:row>26</xdr:row>
      <xdr:rowOff>18317</xdr:rowOff>
    </xdr:from>
    <xdr:to>
      <xdr:col>2</xdr:col>
      <xdr:colOff>1564821</xdr:colOff>
      <xdr:row>26</xdr:row>
      <xdr:rowOff>1540397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0F15782-52B1-47E2-BAB2-DC5687C0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581" y="35648621"/>
          <a:ext cx="1522080" cy="1522080"/>
        </a:xfrm>
        <a:prstGeom prst="rect">
          <a:avLst/>
        </a:prstGeom>
      </xdr:spPr>
    </xdr:pic>
    <xdr:clientData/>
  </xdr:twoCellAnchor>
  <xdr:twoCellAnchor editAs="oneCell">
    <xdr:from>
      <xdr:col>2</xdr:col>
      <xdr:colOff>117587</xdr:colOff>
      <xdr:row>27</xdr:row>
      <xdr:rowOff>63149</xdr:rowOff>
    </xdr:from>
    <xdr:to>
      <xdr:col>2</xdr:col>
      <xdr:colOff>1592034</xdr:colOff>
      <xdr:row>27</xdr:row>
      <xdr:rowOff>1531010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6A2E77-2244-4EC2-8727-04497ACA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27" y="37339918"/>
          <a:ext cx="1474447" cy="1467861"/>
        </a:xfrm>
        <a:prstGeom prst="rect">
          <a:avLst/>
        </a:prstGeom>
      </xdr:spPr>
    </xdr:pic>
    <xdr:clientData/>
  </xdr:twoCellAnchor>
  <xdr:twoCellAnchor editAs="oneCell">
    <xdr:from>
      <xdr:col>2</xdr:col>
      <xdr:colOff>33368</xdr:colOff>
      <xdr:row>25</xdr:row>
      <xdr:rowOff>15166</xdr:rowOff>
    </xdr:from>
    <xdr:to>
      <xdr:col>2</xdr:col>
      <xdr:colOff>1551214</xdr:colOff>
      <xdr:row>25</xdr:row>
      <xdr:rowOff>1533012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03D6FA-3C98-4A2F-A883-92FAD43F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208" y="33999006"/>
          <a:ext cx="1517846" cy="1517846"/>
        </a:xfrm>
        <a:prstGeom prst="rect">
          <a:avLst/>
        </a:prstGeom>
      </xdr:spPr>
    </xdr:pic>
    <xdr:clientData/>
  </xdr:twoCellAnchor>
  <xdr:twoCellAnchor editAs="oneCell">
    <xdr:from>
      <xdr:col>2</xdr:col>
      <xdr:colOff>24266</xdr:colOff>
      <xdr:row>24</xdr:row>
      <xdr:rowOff>15167</xdr:rowOff>
    </xdr:from>
    <xdr:to>
      <xdr:col>2</xdr:col>
      <xdr:colOff>1628347</xdr:colOff>
      <xdr:row>24</xdr:row>
      <xdr:rowOff>1619248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DA1FE28-EEAE-4169-A30E-29F956F99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106" y="32352543"/>
          <a:ext cx="1604081" cy="1604081"/>
        </a:xfrm>
        <a:prstGeom prst="rect">
          <a:avLst/>
        </a:prstGeom>
      </xdr:spPr>
    </xdr:pic>
    <xdr:clientData/>
  </xdr:twoCellAnchor>
  <xdr:twoCellAnchor editAs="oneCell">
    <xdr:from>
      <xdr:col>2</xdr:col>
      <xdr:colOff>30406</xdr:colOff>
      <xdr:row>23</xdr:row>
      <xdr:rowOff>109203</xdr:rowOff>
    </xdr:from>
    <xdr:to>
      <xdr:col>2</xdr:col>
      <xdr:colOff>1677336</xdr:colOff>
      <xdr:row>23</xdr:row>
      <xdr:rowOff>1476375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7973673-50C3-43D6-9542-AD55FA0F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246" y="30800114"/>
          <a:ext cx="1646930" cy="1367172"/>
        </a:xfrm>
        <a:prstGeom prst="rect">
          <a:avLst/>
        </a:prstGeom>
      </xdr:spPr>
    </xdr:pic>
    <xdr:clientData/>
  </xdr:twoCellAnchor>
  <xdr:twoCellAnchor editAs="oneCell">
    <xdr:from>
      <xdr:col>2</xdr:col>
      <xdr:colOff>52964</xdr:colOff>
      <xdr:row>20</xdr:row>
      <xdr:rowOff>81642</xdr:rowOff>
    </xdr:from>
    <xdr:to>
      <xdr:col>2</xdr:col>
      <xdr:colOff>1657036</xdr:colOff>
      <xdr:row>20</xdr:row>
      <xdr:rowOff>1563789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D82B517-C8E8-44D9-82A5-4216577A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804" y="25901196"/>
          <a:ext cx="1604072" cy="1482147"/>
        </a:xfrm>
        <a:prstGeom prst="rect">
          <a:avLst/>
        </a:prstGeom>
      </xdr:spPr>
    </xdr:pic>
    <xdr:clientData/>
  </xdr:twoCellAnchor>
  <xdr:twoCellAnchor editAs="oneCell">
    <xdr:from>
      <xdr:col>2</xdr:col>
      <xdr:colOff>27300</xdr:colOff>
      <xdr:row>18</xdr:row>
      <xdr:rowOff>15166</xdr:rowOff>
    </xdr:from>
    <xdr:to>
      <xdr:col>2</xdr:col>
      <xdr:colOff>1644989</xdr:colOff>
      <xdr:row>18</xdr:row>
      <xdr:rowOff>1632855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60E77B9-4C3E-445B-AA32-9F6A6B58B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140" y="22473756"/>
          <a:ext cx="1617689" cy="1617689"/>
        </a:xfrm>
        <a:prstGeom prst="rect">
          <a:avLst/>
        </a:prstGeom>
      </xdr:spPr>
    </xdr:pic>
    <xdr:clientData/>
  </xdr:twoCellAnchor>
  <xdr:twoCellAnchor editAs="oneCell">
    <xdr:from>
      <xdr:col>2</xdr:col>
      <xdr:colOff>71892</xdr:colOff>
      <xdr:row>17</xdr:row>
      <xdr:rowOff>43118</xdr:rowOff>
    </xdr:from>
    <xdr:to>
      <xdr:col>2</xdr:col>
      <xdr:colOff>1571623</xdr:colOff>
      <xdr:row>17</xdr:row>
      <xdr:rowOff>1542849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CAD7DDA-59D3-4828-BA76-B5BC86B94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732" y="20855244"/>
          <a:ext cx="1499731" cy="1499731"/>
        </a:xfrm>
        <a:prstGeom prst="rect">
          <a:avLst/>
        </a:prstGeom>
      </xdr:spPr>
    </xdr:pic>
    <xdr:clientData/>
  </xdr:twoCellAnchor>
  <xdr:twoCellAnchor editAs="oneCell">
    <xdr:from>
      <xdr:col>2</xdr:col>
      <xdr:colOff>36401</xdr:colOff>
      <xdr:row>14</xdr:row>
      <xdr:rowOff>18200</xdr:rowOff>
    </xdr:from>
    <xdr:to>
      <xdr:col>2</xdr:col>
      <xdr:colOff>1404401</xdr:colOff>
      <xdr:row>14</xdr:row>
      <xdr:rowOff>1386200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080473C-3467-4D0E-A2FD-A82353AB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057" y="13501839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27301</xdr:colOff>
      <xdr:row>13</xdr:row>
      <xdr:rowOff>9100</xdr:rowOff>
    </xdr:from>
    <xdr:to>
      <xdr:col>2</xdr:col>
      <xdr:colOff>1395301</xdr:colOff>
      <xdr:row>13</xdr:row>
      <xdr:rowOff>1377100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7B7D8DD-01C0-4C36-81D6-393F5148A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957" y="12097357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34018</xdr:colOff>
      <xdr:row>5</xdr:row>
      <xdr:rowOff>74839</xdr:rowOff>
    </xdr:from>
    <xdr:to>
      <xdr:col>2</xdr:col>
      <xdr:colOff>1690018</xdr:colOff>
      <xdr:row>5</xdr:row>
      <xdr:rowOff>1730839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0D71A9D-D055-48A3-A52A-A21147E6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1000125"/>
          <a:ext cx="165600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6</xdr:row>
      <xdr:rowOff>40821</xdr:rowOff>
    </xdr:from>
    <xdr:to>
      <xdr:col>2</xdr:col>
      <xdr:colOff>1638428</xdr:colOff>
      <xdr:row>6</xdr:row>
      <xdr:rowOff>1624821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E5320D2-E1E3-4F43-B699-36FDDECFB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268" y="2741840"/>
          <a:ext cx="1584000" cy="15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34018</xdr:colOff>
      <xdr:row>8</xdr:row>
      <xdr:rowOff>27214</xdr:rowOff>
    </xdr:from>
    <xdr:to>
      <xdr:col>2</xdr:col>
      <xdr:colOff>1618018</xdr:colOff>
      <xdr:row>8</xdr:row>
      <xdr:rowOff>1611214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D615D18-1148-488B-BD9A-4861455C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6021161"/>
          <a:ext cx="1584000" cy="15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9</xdr:row>
      <xdr:rowOff>47625</xdr:rowOff>
    </xdr:from>
    <xdr:to>
      <xdr:col>2</xdr:col>
      <xdr:colOff>1631625</xdr:colOff>
      <xdr:row>9</xdr:row>
      <xdr:rowOff>1631625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2C78D36-8EDB-4979-919F-D4C3C32E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465" y="7688036"/>
          <a:ext cx="1584000" cy="15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20450</xdr:colOff>
      <xdr:row>10</xdr:row>
      <xdr:rowOff>34018</xdr:rowOff>
    </xdr:from>
    <xdr:to>
      <xdr:col>2</xdr:col>
      <xdr:colOff>1657095</xdr:colOff>
      <xdr:row>10</xdr:row>
      <xdr:rowOff>1582018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342AB4D-DB7D-461D-9964-7577625C2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90" y="9320894"/>
          <a:ext cx="1636645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12</xdr:row>
      <xdr:rowOff>34017</xdr:rowOff>
    </xdr:from>
    <xdr:to>
      <xdr:col>2</xdr:col>
      <xdr:colOff>1638429</xdr:colOff>
      <xdr:row>12</xdr:row>
      <xdr:rowOff>1618017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A4EA56C-91E2-451D-A53C-1E22CBCA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269" y="12613821"/>
          <a:ext cx="1584000" cy="15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</xdr:colOff>
      <xdr:row>21</xdr:row>
      <xdr:rowOff>47625</xdr:rowOff>
    </xdr:from>
    <xdr:to>
      <xdr:col>2</xdr:col>
      <xdr:colOff>1653267</xdr:colOff>
      <xdr:row>21</xdr:row>
      <xdr:rowOff>1598839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5420894-87A2-4242-9C1B-C532F5D4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446" y="27513644"/>
          <a:ext cx="1639661" cy="1551214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15</xdr:row>
      <xdr:rowOff>27214</xdr:rowOff>
    </xdr:from>
    <xdr:to>
      <xdr:col>2</xdr:col>
      <xdr:colOff>1632857</xdr:colOff>
      <xdr:row>15</xdr:row>
      <xdr:rowOff>1618730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69BC1C3-7529-44C6-A63F-58FBFED3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663" y="17614447"/>
          <a:ext cx="1592034" cy="1591516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28</xdr:row>
      <xdr:rowOff>34016</xdr:rowOff>
    </xdr:from>
    <xdr:to>
      <xdr:col>2</xdr:col>
      <xdr:colOff>1639659</xdr:colOff>
      <xdr:row>28</xdr:row>
      <xdr:rowOff>1619247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A92729-1C63-44ED-BBCC-8082C42F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268" y="39025285"/>
          <a:ext cx="1585231" cy="15852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29245</xdr:colOff>
      <xdr:row>6</xdr:row>
      <xdr:rowOff>69695</xdr:rowOff>
    </xdr:from>
    <xdr:to>
      <xdr:col>2</xdr:col>
      <xdr:colOff>1180900</xdr:colOff>
      <xdr:row>6</xdr:row>
      <xdr:rowOff>1221695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C81295-FB36-4862-8D18-CB480E168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233" y="1149969"/>
          <a:ext cx="1151655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5808</xdr:colOff>
      <xdr:row>7</xdr:row>
      <xdr:rowOff>29039</xdr:rowOff>
    </xdr:from>
    <xdr:to>
      <xdr:col>2</xdr:col>
      <xdr:colOff>1193808</xdr:colOff>
      <xdr:row>7</xdr:row>
      <xdr:rowOff>1217039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C108C-098F-461A-AB35-79A7FE94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6" y="2375441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11616</xdr:colOff>
      <xdr:row>8</xdr:row>
      <xdr:rowOff>34847</xdr:rowOff>
    </xdr:from>
    <xdr:to>
      <xdr:col>2</xdr:col>
      <xdr:colOff>1199616</xdr:colOff>
      <xdr:row>8</xdr:row>
      <xdr:rowOff>1222847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22D328-B529-4CF7-90BD-709C5999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604" y="3647377"/>
          <a:ext cx="1188000" cy="11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34847</xdr:colOff>
      <xdr:row>20</xdr:row>
      <xdr:rowOff>69695</xdr:rowOff>
    </xdr:from>
    <xdr:to>
      <xdr:col>2</xdr:col>
      <xdr:colOff>1186847</xdr:colOff>
      <xdr:row>20</xdr:row>
      <xdr:rowOff>1221695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50BD32D-27DF-42E8-999D-310AF628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835" y="802655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23231</xdr:colOff>
      <xdr:row>23</xdr:row>
      <xdr:rowOff>69695</xdr:rowOff>
    </xdr:from>
    <xdr:to>
      <xdr:col>2</xdr:col>
      <xdr:colOff>1175231</xdr:colOff>
      <xdr:row>23</xdr:row>
      <xdr:rowOff>1221695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494D0B1-63AF-4367-AF36-4A164223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219" y="1055881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</xdr:colOff>
      <xdr:row>11</xdr:row>
      <xdr:rowOff>48846</xdr:rowOff>
    </xdr:from>
    <xdr:to>
      <xdr:col>2</xdr:col>
      <xdr:colOff>1196730</xdr:colOff>
      <xdr:row>11</xdr:row>
      <xdr:rowOff>1221153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3B448A-26A1-413A-AC48-5F6FF0CE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5" y="5373077"/>
          <a:ext cx="1172307" cy="1172307"/>
        </a:xfrm>
        <a:prstGeom prst="rect">
          <a:avLst/>
        </a:prstGeom>
      </xdr:spPr>
    </xdr:pic>
    <xdr:clientData/>
  </xdr:twoCellAnchor>
  <xdr:twoCellAnchor editAs="oneCell">
    <xdr:from>
      <xdr:col>2</xdr:col>
      <xdr:colOff>12214</xdr:colOff>
      <xdr:row>21</xdr:row>
      <xdr:rowOff>48847</xdr:rowOff>
    </xdr:from>
    <xdr:to>
      <xdr:col>2</xdr:col>
      <xdr:colOff>1197144</xdr:colOff>
      <xdr:row>21</xdr:row>
      <xdr:rowOff>1233366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69E218-9CFF-418E-8A0B-99DBD521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6" y="9366251"/>
          <a:ext cx="1184930" cy="1184519"/>
        </a:xfrm>
        <a:prstGeom prst="rect">
          <a:avLst/>
        </a:prstGeom>
      </xdr:spPr>
    </xdr:pic>
    <xdr:clientData/>
  </xdr:twoCellAnchor>
  <xdr:twoCellAnchor editAs="oneCell">
    <xdr:from>
      <xdr:col>2</xdr:col>
      <xdr:colOff>6105</xdr:colOff>
      <xdr:row>22</xdr:row>
      <xdr:rowOff>42740</xdr:rowOff>
    </xdr:from>
    <xdr:to>
      <xdr:col>2</xdr:col>
      <xdr:colOff>1184518</xdr:colOff>
      <xdr:row>22</xdr:row>
      <xdr:rowOff>1221153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DAA7864-6A7A-47B4-87F3-A4C777E2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817" y="10624039"/>
          <a:ext cx="1178413" cy="1178413"/>
        </a:xfrm>
        <a:prstGeom prst="rect">
          <a:avLst/>
        </a:prstGeom>
      </xdr:spPr>
    </xdr:pic>
    <xdr:clientData/>
  </xdr:twoCellAnchor>
  <xdr:twoCellAnchor editAs="oneCell">
    <xdr:from>
      <xdr:col>2</xdr:col>
      <xdr:colOff>12212</xdr:colOff>
      <xdr:row>24</xdr:row>
      <xdr:rowOff>24423</xdr:rowOff>
    </xdr:from>
    <xdr:to>
      <xdr:col>2</xdr:col>
      <xdr:colOff>1184874</xdr:colOff>
      <xdr:row>24</xdr:row>
      <xdr:rowOff>1196730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3BD3533-DDAF-43D1-9DFA-92B833A4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4" y="13133510"/>
          <a:ext cx="1172662" cy="1172307"/>
        </a:xfrm>
        <a:prstGeom prst="rect">
          <a:avLst/>
        </a:prstGeom>
      </xdr:spPr>
    </xdr:pic>
    <xdr:clientData/>
  </xdr:twoCellAnchor>
  <xdr:twoCellAnchor editAs="oneCell">
    <xdr:from>
      <xdr:col>2</xdr:col>
      <xdr:colOff>24423</xdr:colOff>
      <xdr:row>25</xdr:row>
      <xdr:rowOff>48846</xdr:rowOff>
    </xdr:from>
    <xdr:to>
      <xdr:col>2</xdr:col>
      <xdr:colOff>1196730</xdr:colOff>
      <xdr:row>25</xdr:row>
      <xdr:rowOff>1221153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A3B2DD8-EFAE-463F-AF99-0D9776B1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35" y="14421827"/>
          <a:ext cx="1172307" cy="1172307"/>
        </a:xfrm>
        <a:prstGeom prst="rect">
          <a:avLst/>
        </a:prstGeom>
      </xdr:spPr>
    </xdr:pic>
    <xdr:clientData/>
  </xdr:twoCellAnchor>
  <xdr:twoCellAnchor editAs="oneCell">
    <xdr:from>
      <xdr:col>2</xdr:col>
      <xdr:colOff>36632</xdr:colOff>
      <xdr:row>28</xdr:row>
      <xdr:rowOff>48847</xdr:rowOff>
    </xdr:from>
    <xdr:to>
      <xdr:col>2</xdr:col>
      <xdr:colOff>1190623</xdr:colOff>
      <xdr:row>28</xdr:row>
      <xdr:rowOff>1233365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BF9C9B3-DAE3-4ECC-BFBE-EADCBED79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344" y="16052069"/>
          <a:ext cx="1153991" cy="1184518"/>
        </a:xfrm>
        <a:prstGeom prst="rect">
          <a:avLst/>
        </a:prstGeom>
      </xdr:spPr>
    </xdr:pic>
    <xdr:clientData/>
  </xdr:twoCellAnchor>
  <xdr:twoCellAnchor editAs="oneCell">
    <xdr:from>
      <xdr:col>2</xdr:col>
      <xdr:colOff>30529</xdr:colOff>
      <xdr:row>29</xdr:row>
      <xdr:rowOff>91586</xdr:rowOff>
    </xdr:from>
    <xdr:to>
      <xdr:col>2</xdr:col>
      <xdr:colOff>1192338</xdr:colOff>
      <xdr:row>29</xdr:row>
      <xdr:rowOff>1147884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8B8312-E7CE-4BBD-8D67-567A5C85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241" y="17621250"/>
          <a:ext cx="1161809" cy="10562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73982</xdr:colOff>
      <xdr:row>4</xdr:row>
      <xdr:rowOff>61374</xdr:rowOff>
    </xdr:from>
    <xdr:to>
      <xdr:col>2</xdr:col>
      <xdr:colOff>1354765</xdr:colOff>
      <xdr:row>4</xdr:row>
      <xdr:rowOff>1451794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79BEBB-7EB2-4F6B-A7CF-711990C4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4" y="1075326"/>
          <a:ext cx="1280783" cy="1390420"/>
        </a:xfrm>
        <a:prstGeom prst="rect">
          <a:avLst/>
        </a:prstGeom>
      </xdr:spPr>
    </xdr:pic>
    <xdr:clientData/>
  </xdr:twoCellAnchor>
  <xdr:twoCellAnchor editAs="oneCell">
    <xdr:from>
      <xdr:col>2</xdr:col>
      <xdr:colOff>24184</xdr:colOff>
      <xdr:row>5</xdr:row>
      <xdr:rowOff>220613</xdr:rowOff>
    </xdr:from>
    <xdr:to>
      <xdr:col>2</xdr:col>
      <xdr:colOff>1386743</xdr:colOff>
      <xdr:row>5</xdr:row>
      <xdr:rowOff>1390343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E19E54-6D41-471D-AAFC-968C723B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926" y="2755492"/>
          <a:ext cx="1362559" cy="1169730"/>
        </a:xfrm>
        <a:prstGeom prst="rect">
          <a:avLst/>
        </a:prstGeom>
      </xdr:spPr>
    </xdr:pic>
    <xdr:clientData/>
  </xdr:twoCellAnchor>
  <xdr:twoCellAnchor editAs="oneCell">
    <xdr:from>
      <xdr:col>2</xdr:col>
      <xdr:colOff>24502</xdr:colOff>
      <xdr:row>6</xdr:row>
      <xdr:rowOff>116656</xdr:rowOff>
    </xdr:from>
    <xdr:to>
      <xdr:col>2</xdr:col>
      <xdr:colOff>1364407</xdr:colOff>
      <xdr:row>6</xdr:row>
      <xdr:rowOff>1351936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DEABA7-7103-43E3-B1EE-BF87DDDC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244" y="4172462"/>
          <a:ext cx="1339905" cy="1235280"/>
        </a:xfrm>
        <a:prstGeom prst="rect">
          <a:avLst/>
        </a:prstGeom>
      </xdr:spPr>
    </xdr:pic>
    <xdr:clientData/>
  </xdr:twoCellAnchor>
  <xdr:twoCellAnchor editAs="oneCell">
    <xdr:from>
      <xdr:col>2</xdr:col>
      <xdr:colOff>44317</xdr:colOff>
      <xdr:row>7</xdr:row>
      <xdr:rowOff>195429</xdr:rowOff>
    </xdr:from>
    <xdr:to>
      <xdr:col>2</xdr:col>
      <xdr:colOff>1393241</xdr:colOff>
      <xdr:row>7</xdr:row>
      <xdr:rowOff>1426257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F20B88-D181-4F8E-9491-66A16C29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059" y="5772163"/>
          <a:ext cx="1348924" cy="1230828"/>
        </a:xfrm>
        <a:prstGeom prst="rect">
          <a:avLst/>
        </a:prstGeom>
      </xdr:spPr>
    </xdr:pic>
    <xdr:clientData/>
  </xdr:twoCellAnchor>
  <xdr:twoCellAnchor editAs="oneCell">
    <xdr:from>
      <xdr:col>2</xdr:col>
      <xdr:colOff>24421</xdr:colOff>
      <xdr:row>8</xdr:row>
      <xdr:rowOff>173215</xdr:rowOff>
    </xdr:from>
    <xdr:to>
      <xdr:col>2</xdr:col>
      <xdr:colOff>1382588</xdr:colOff>
      <xdr:row>8</xdr:row>
      <xdr:rowOff>1417278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F01DFCC-8972-4754-8603-D19D35F3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163" y="7270876"/>
          <a:ext cx="1358167" cy="1244063"/>
        </a:xfrm>
        <a:prstGeom prst="rect">
          <a:avLst/>
        </a:prstGeom>
      </xdr:spPr>
    </xdr:pic>
    <xdr:clientData/>
  </xdr:twoCellAnchor>
  <xdr:twoCellAnchor editAs="oneCell">
    <xdr:from>
      <xdr:col>2</xdr:col>
      <xdr:colOff>58103</xdr:colOff>
      <xdr:row>9</xdr:row>
      <xdr:rowOff>81148</xdr:rowOff>
    </xdr:from>
    <xdr:to>
      <xdr:col>2</xdr:col>
      <xdr:colOff>1400817</xdr:colOff>
      <xdr:row>9</xdr:row>
      <xdr:rowOff>1424282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1ED472B-8331-4DC5-BFFB-E12313B40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845" y="8699737"/>
          <a:ext cx="1342714" cy="1343134"/>
        </a:xfrm>
        <a:prstGeom prst="rect">
          <a:avLst/>
        </a:prstGeom>
      </xdr:spPr>
    </xdr:pic>
    <xdr:clientData/>
  </xdr:twoCellAnchor>
  <xdr:twoCellAnchor editAs="oneCell">
    <xdr:from>
      <xdr:col>2</xdr:col>
      <xdr:colOff>73746</xdr:colOff>
      <xdr:row>14</xdr:row>
      <xdr:rowOff>143740</xdr:rowOff>
    </xdr:from>
    <xdr:to>
      <xdr:col>2</xdr:col>
      <xdr:colOff>1379270</xdr:colOff>
      <xdr:row>14</xdr:row>
      <xdr:rowOff>1449264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5A5240-CF94-427F-9CB9-FE60A507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488" y="16366966"/>
          <a:ext cx="1305524" cy="1305524"/>
        </a:xfrm>
        <a:prstGeom prst="rect">
          <a:avLst/>
        </a:prstGeom>
      </xdr:spPr>
    </xdr:pic>
    <xdr:clientData/>
  </xdr:twoCellAnchor>
  <xdr:twoCellAnchor editAs="oneCell">
    <xdr:from>
      <xdr:col>2</xdr:col>
      <xdr:colOff>73917</xdr:colOff>
      <xdr:row>15</xdr:row>
      <xdr:rowOff>151975</xdr:rowOff>
    </xdr:from>
    <xdr:to>
      <xdr:col>2</xdr:col>
      <xdr:colOff>1360715</xdr:colOff>
      <xdr:row>15</xdr:row>
      <xdr:rowOff>1438450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4676F35-97EC-4910-94C2-8110C15E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59" y="17896128"/>
          <a:ext cx="1286798" cy="1286475"/>
        </a:xfrm>
        <a:prstGeom prst="rect">
          <a:avLst/>
        </a:prstGeom>
      </xdr:spPr>
    </xdr:pic>
    <xdr:clientData/>
  </xdr:twoCellAnchor>
  <xdr:twoCellAnchor editAs="oneCell">
    <xdr:from>
      <xdr:col>2</xdr:col>
      <xdr:colOff>24422</xdr:colOff>
      <xdr:row>16</xdr:row>
      <xdr:rowOff>134419</xdr:rowOff>
    </xdr:from>
    <xdr:to>
      <xdr:col>2</xdr:col>
      <xdr:colOff>1398141</xdr:colOff>
      <xdr:row>16</xdr:row>
      <xdr:rowOff>1255568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5598E46-1D9C-40CF-AFB6-E879D652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354" y="12331367"/>
          <a:ext cx="1373719" cy="1121149"/>
        </a:xfrm>
        <a:prstGeom prst="rect">
          <a:avLst/>
        </a:prstGeom>
      </xdr:spPr>
    </xdr:pic>
    <xdr:clientData/>
  </xdr:twoCellAnchor>
  <xdr:twoCellAnchor editAs="oneCell">
    <xdr:from>
      <xdr:col>2</xdr:col>
      <xdr:colOff>98643</xdr:colOff>
      <xdr:row>17</xdr:row>
      <xdr:rowOff>189927</xdr:rowOff>
    </xdr:from>
    <xdr:to>
      <xdr:col>2</xdr:col>
      <xdr:colOff>1409005</xdr:colOff>
      <xdr:row>17</xdr:row>
      <xdr:rowOff>1224643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15D41BB-B641-44D3-BB13-070016F7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575" y="13784700"/>
          <a:ext cx="1310362" cy="1034716"/>
        </a:xfrm>
        <a:prstGeom prst="rect">
          <a:avLst/>
        </a:prstGeom>
      </xdr:spPr>
    </xdr:pic>
    <xdr:clientData/>
  </xdr:twoCellAnchor>
  <xdr:twoCellAnchor editAs="oneCell">
    <xdr:from>
      <xdr:col>2</xdr:col>
      <xdr:colOff>80009</xdr:colOff>
      <xdr:row>18</xdr:row>
      <xdr:rowOff>49083</xdr:rowOff>
    </xdr:from>
    <xdr:to>
      <xdr:col>2</xdr:col>
      <xdr:colOff>1360714</xdr:colOff>
      <xdr:row>18</xdr:row>
      <xdr:rowOff>1329788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EB7EAF7-1E9C-4FC2-9FDB-BF6A18F5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941" y="15041680"/>
          <a:ext cx="1280705" cy="1280705"/>
        </a:xfrm>
        <a:prstGeom prst="rect">
          <a:avLst/>
        </a:prstGeom>
      </xdr:spPr>
    </xdr:pic>
    <xdr:clientData/>
  </xdr:twoCellAnchor>
  <xdr:twoCellAnchor editAs="oneCell">
    <xdr:from>
      <xdr:col>2</xdr:col>
      <xdr:colOff>74154</xdr:colOff>
      <xdr:row>24</xdr:row>
      <xdr:rowOff>49163</xdr:rowOff>
    </xdr:from>
    <xdr:to>
      <xdr:col>2</xdr:col>
      <xdr:colOff>1385377</xdr:colOff>
      <xdr:row>24</xdr:row>
      <xdr:rowOff>1360713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6B496F3-57DB-411D-93C2-F87AC09B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086" y="17484862"/>
          <a:ext cx="1311223" cy="1311550"/>
        </a:xfrm>
        <a:prstGeom prst="rect">
          <a:avLst/>
        </a:prstGeom>
      </xdr:spPr>
    </xdr:pic>
    <xdr:clientData/>
  </xdr:twoCellAnchor>
  <xdr:twoCellAnchor editAs="oneCell">
    <xdr:from>
      <xdr:col>2</xdr:col>
      <xdr:colOff>55679</xdr:colOff>
      <xdr:row>25</xdr:row>
      <xdr:rowOff>61215</xdr:rowOff>
    </xdr:from>
    <xdr:to>
      <xdr:col>2</xdr:col>
      <xdr:colOff>1360715</xdr:colOff>
      <xdr:row>25</xdr:row>
      <xdr:rowOff>1365924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2146BE1-3045-4BBE-8642-802D4802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611" y="18894738"/>
          <a:ext cx="1305036" cy="1304709"/>
        </a:xfrm>
        <a:prstGeom prst="rect">
          <a:avLst/>
        </a:prstGeom>
      </xdr:spPr>
    </xdr:pic>
    <xdr:clientData/>
  </xdr:twoCellAnchor>
  <xdr:twoCellAnchor editAs="oneCell">
    <xdr:from>
      <xdr:col>2</xdr:col>
      <xdr:colOff>67797</xdr:colOff>
      <xdr:row>26</xdr:row>
      <xdr:rowOff>67480</xdr:rowOff>
    </xdr:from>
    <xdr:to>
      <xdr:col>2</xdr:col>
      <xdr:colOff>1354529</xdr:colOff>
      <xdr:row>26</xdr:row>
      <xdr:rowOff>1354212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E83E9BD-FD9A-4D11-A023-A871EB8BB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729" y="20298828"/>
          <a:ext cx="1286732" cy="1286732"/>
        </a:xfrm>
        <a:prstGeom prst="rect">
          <a:avLst/>
        </a:prstGeom>
      </xdr:spPr>
    </xdr:pic>
    <xdr:clientData/>
  </xdr:twoCellAnchor>
  <xdr:twoCellAnchor editAs="oneCell">
    <xdr:from>
      <xdr:col>2</xdr:col>
      <xdr:colOff>30527</xdr:colOff>
      <xdr:row>27</xdr:row>
      <xdr:rowOff>189371</xdr:rowOff>
    </xdr:from>
    <xdr:to>
      <xdr:col>2</xdr:col>
      <xdr:colOff>1399432</xdr:colOff>
      <xdr:row>27</xdr:row>
      <xdr:rowOff>1212272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36187A7-5CD1-4925-8884-D2DF1EC1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459" y="21818544"/>
          <a:ext cx="1368905" cy="1022901"/>
        </a:xfrm>
        <a:prstGeom prst="rect">
          <a:avLst/>
        </a:prstGeom>
      </xdr:spPr>
    </xdr:pic>
    <xdr:clientData/>
  </xdr:twoCellAnchor>
  <xdr:twoCellAnchor editAs="oneCell">
    <xdr:from>
      <xdr:col>2</xdr:col>
      <xdr:colOff>61692</xdr:colOff>
      <xdr:row>28</xdr:row>
      <xdr:rowOff>36714</xdr:rowOff>
    </xdr:from>
    <xdr:to>
      <xdr:col>2</xdr:col>
      <xdr:colOff>1397824</xdr:colOff>
      <xdr:row>28</xdr:row>
      <xdr:rowOff>1372846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C7B6450-F8D4-4DFA-9594-DF4979EC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624" y="23063711"/>
          <a:ext cx="1336132" cy="1336132"/>
        </a:xfrm>
        <a:prstGeom prst="rect">
          <a:avLst/>
        </a:prstGeom>
      </xdr:spPr>
    </xdr:pic>
    <xdr:clientData/>
  </xdr:twoCellAnchor>
  <xdr:twoCellAnchor editAs="oneCell">
    <xdr:from>
      <xdr:col>2</xdr:col>
      <xdr:colOff>73825</xdr:colOff>
      <xdr:row>29</xdr:row>
      <xdr:rowOff>79863</xdr:rowOff>
    </xdr:from>
    <xdr:to>
      <xdr:col>2</xdr:col>
      <xdr:colOff>1348345</xdr:colOff>
      <xdr:row>29</xdr:row>
      <xdr:rowOff>1354702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A449F5A-9370-4882-9A36-9A4E676C8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757" y="24504685"/>
          <a:ext cx="1274520" cy="1274839"/>
        </a:xfrm>
        <a:prstGeom prst="rect">
          <a:avLst/>
        </a:prstGeom>
      </xdr:spPr>
    </xdr:pic>
    <xdr:clientData/>
  </xdr:twoCellAnchor>
  <xdr:twoCellAnchor editAs="oneCell">
    <xdr:from>
      <xdr:col>2</xdr:col>
      <xdr:colOff>73903</xdr:colOff>
      <xdr:row>30</xdr:row>
      <xdr:rowOff>73994</xdr:rowOff>
    </xdr:from>
    <xdr:to>
      <xdr:col>2</xdr:col>
      <xdr:colOff>1391639</xdr:colOff>
      <xdr:row>30</xdr:row>
      <xdr:rowOff>1392059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3DF10AB-A379-41F5-A821-C9B1C6EF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35" y="25896641"/>
          <a:ext cx="1317736" cy="1318065"/>
        </a:xfrm>
        <a:prstGeom prst="rect">
          <a:avLst/>
        </a:prstGeom>
      </xdr:spPr>
    </xdr:pic>
    <xdr:clientData/>
  </xdr:twoCellAnchor>
  <xdr:twoCellAnchor editAs="oneCell">
    <xdr:from>
      <xdr:col>2</xdr:col>
      <xdr:colOff>18316</xdr:colOff>
      <xdr:row>33</xdr:row>
      <xdr:rowOff>73361</xdr:rowOff>
    </xdr:from>
    <xdr:to>
      <xdr:col>2</xdr:col>
      <xdr:colOff>1380897</xdr:colOff>
      <xdr:row>33</xdr:row>
      <xdr:rowOff>1243197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B941A31-3BD3-45A8-B538-2D97167F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248" y="30089482"/>
          <a:ext cx="1362581" cy="1169836"/>
        </a:xfrm>
        <a:prstGeom prst="rect">
          <a:avLst/>
        </a:prstGeom>
      </xdr:spPr>
    </xdr:pic>
    <xdr:clientData/>
  </xdr:twoCellAnchor>
  <xdr:twoCellAnchor editAs="oneCell">
    <xdr:from>
      <xdr:col>2</xdr:col>
      <xdr:colOff>38406</xdr:colOff>
      <xdr:row>31</xdr:row>
      <xdr:rowOff>18282</xdr:rowOff>
    </xdr:from>
    <xdr:to>
      <xdr:col>2</xdr:col>
      <xdr:colOff>1367297</xdr:colOff>
      <xdr:row>31</xdr:row>
      <xdr:rowOff>1351935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3C6846-CD1C-4AD0-A198-2706A458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148" y="32848806"/>
          <a:ext cx="1328891" cy="1333653"/>
        </a:xfrm>
        <a:prstGeom prst="rect">
          <a:avLst/>
        </a:prstGeom>
      </xdr:spPr>
    </xdr:pic>
    <xdr:clientData/>
  </xdr:twoCellAnchor>
  <xdr:twoCellAnchor editAs="oneCell">
    <xdr:from>
      <xdr:col>2</xdr:col>
      <xdr:colOff>53771</xdr:colOff>
      <xdr:row>32</xdr:row>
      <xdr:rowOff>7681</xdr:rowOff>
    </xdr:from>
    <xdr:to>
      <xdr:col>2</xdr:col>
      <xdr:colOff>1405706</xdr:colOff>
      <xdr:row>32</xdr:row>
      <xdr:rowOff>1359616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FEAA08-5EE4-4256-909B-FD303519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513" y="34236229"/>
          <a:ext cx="1351935" cy="1351935"/>
        </a:xfrm>
        <a:prstGeom prst="rect">
          <a:avLst/>
        </a:prstGeom>
      </xdr:spPr>
    </xdr:pic>
    <xdr:clientData/>
  </xdr:twoCellAnchor>
  <xdr:twoCellAnchor editAs="oneCell">
    <xdr:from>
      <xdr:col>2</xdr:col>
      <xdr:colOff>38409</xdr:colOff>
      <xdr:row>10</xdr:row>
      <xdr:rowOff>138265</xdr:rowOff>
    </xdr:from>
    <xdr:to>
      <xdr:col>2</xdr:col>
      <xdr:colOff>1367729</xdr:colOff>
      <xdr:row>10</xdr:row>
      <xdr:rowOff>1467156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E90FCE7-5E1E-47C2-A553-C7179853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151" y="10277781"/>
          <a:ext cx="1329320" cy="1328891"/>
        </a:xfrm>
        <a:prstGeom prst="rect">
          <a:avLst/>
        </a:prstGeom>
      </xdr:spPr>
    </xdr:pic>
    <xdr:clientData/>
  </xdr:twoCellAnchor>
  <xdr:twoCellAnchor editAs="oneCell">
    <xdr:from>
      <xdr:col>2</xdr:col>
      <xdr:colOff>30726</xdr:colOff>
      <xdr:row>11</xdr:row>
      <xdr:rowOff>84496</xdr:rowOff>
    </xdr:from>
    <xdr:to>
      <xdr:col>2</xdr:col>
      <xdr:colOff>1421068</xdr:colOff>
      <xdr:row>11</xdr:row>
      <xdr:rowOff>1474838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84DBFA9-3672-4C36-8B77-389E9C8E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468" y="11744940"/>
          <a:ext cx="1390342" cy="1390342"/>
        </a:xfrm>
        <a:prstGeom prst="rect">
          <a:avLst/>
        </a:prstGeom>
      </xdr:spPr>
    </xdr:pic>
    <xdr:clientData/>
  </xdr:twoCellAnchor>
  <xdr:twoCellAnchor editAs="oneCell">
    <xdr:from>
      <xdr:col>2</xdr:col>
      <xdr:colOff>7681</xdr:colOff>
      <xdr:row>12</xdr:row>
      <xdr:rowOff>61452</xdr:rowOff>
    </xdr:from>
    <xdr:to>
      <xdr:col>2</xdr:col>
      <xdr:colOff>1413387</xdr:colOff>
      <xdr:row>12</xdr:row>
      <xdr:rowOff>1467158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68AFB8-502D-42D6-B862-F989B937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423" y="13242823"/>
          <a:ext cx="1405706" cy="1405706"/>
        </a:xfrm>
        <a:prstGeom prst="rect">
          <a:avLst/>
        </a:prstGeom>
      </xdr:spPr>
    </xdr:pic>
    <xdr:clientData/>
  </xdr:twoCellAnchor>
  <xdr:twoCellAnchor editAs="oneCell">
    <xdr:from>
      <xdr:col>2</xdr:col>
      <xdr:colOff>15363</xdr:colOff>
      <xdr:row>13</xdr:row>
      <xdr:rowOff>30726</xdr:rowOff>
    </xdr:from>
    <xdr:to>
      <xdr:col>3</xdr:col>
      <xdr:colOff>0</xdr:colOff>
      <xdr:row>13</xdr:row>
      <xdr:rowOff>1436432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A75D37F-A65F-4751-8814-C295E419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105" y="14733024"/>
          <a:ext cx="1405706" cy="14057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61140</xdr:colOff>
      <xdr:row>6</xdr:row>
      <xdr:rowOff>28230</xdr:rowOff>
    </xdr:from>
    <xdr:to>
      <xdr:col>2</xdr:col>
      <xdr:colOff>1367662</xdr:colOff>
      <xdr:row>6</xdr:row>
      <xdr:rowOff>1334752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FC31C-1295-4771-A07E-0E3FBAB6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028" y="1137392"/>
          <a:ext cx="1306522" cy="1306522"/>
        </a:xfrm>
        <a:prstGeom prst="rect">
          <a:avLst/>
        </a:prstGeom>
      </xdr:spPr>
    </xdr:pic>
    <xdr:clientData/>
  </xdr:twoCellAnchor>
  <xdr:twoCellAnchor editAs="oneCell">
    <xdr:from>
      <xdr:col>2</xdr:col>
      <xdr:colOff>40247</xdr:colOff>
      <xdr:row>7</xdr:row>
      <xdr:rowOff>26831</xdr:rowOff>
    </xdr:from>
    <xdr:to>
      <xdr:col>2</xdr:col>
      <xdr:colOff>1391151</xdr:colOff>
      <xdr:row>7</xdr:row>
      <xdr:rowOff>1377735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C7EB17-E14F-47C7-9878-43DCD505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35" y="2533410"/>
          <a:ext cx="1350904" cy="1350904"/>
        </a:xfrm>
        <a:prstGeom prst="rect">
          <a:avLst/>
        </a:prstGeom>
      </xdr:spPr>
    </xdr:pic>
    <xdr:clientData/>
  </xdr:twoCellAnchor>
  <xdr:twoCellAnchor editAs="oneCell">
    <xdr:from>
      <xdr:col>2</xdr:col>
      <xdr:colOff>46954</xdr:colOff>
      <xdr:row>10</xdr:row>
      <xdr:rowOff>20123</xdr:rowOff>
    </xdr:from>
    <xdr:to>
      <xdr:col>2</xdr:col>
      <xdr:colOff>1374675</xdr:colOff>
      <xdr:row>10</xdr:row>
      <xdr:rowOff>1284620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0EB43B-988A-4FDD-B68B-7BF1130A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842" y="4356505"/>
          <a:ext cx="1327721" cy="1264497"/>
        </a:xfrm>
        <a:prstGeom prst="rect">
          <a:avLst/>
        </a:prstGeom>
      </xdr:spPr>
    </xdr:pic>
    <xdr:clientData/>
  </xdr:twoCellAnchor>
  <xdr:twoCellAnchor editAs="oneCell">
    <xdr:from>
      <xdr:col>2</xdr:col>
      <xdr:colOff>20122</xdr:colOff>
      <xdr:row>11</xdr:row>
      <xdr:rowOff>40248</xdr:rowOff>
    </xdr:from>
    <xdr:to>
      <xdr:col>2</xdr:col>
      <xdr:colOff>1378619</xdr:colOff>
      <xdr:row>11</xdr:row>
      <xdr:rowOff>1317874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F002C6-BB21-4793-A45A-DBF8A2318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010" y="5774048"/>
          <a:ext cx="1358497" cy="1277626"/>
        </a:xfrm>
        <a:prstGeom prst="rect">
          <a:avLst/>
        </a:prstGeom>
      </xdr:spPr>
    </xdr:pic>
    <xdr:clientData/>
  </xdr:twoCellAnchor>
  <xdr:twoCellAnchor editAs="oneCell">
    <xdr:from>
      <xdr:col>2</xdr:col>
      <xdr:colOff>80052</xdr:colOff>
      <xdr:row>14</xdr:row>
      <xdr:rowOff>45631</xdr:rowOff>
    </xdr:from>
    <xdr:to>
      <xdr:col>2</xdr:col>
      <xdr:colOff>1369174</xdr:colOff>
      <xdr:row>14</xdr:row>
      <xdr:rowOff>1334753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E93901B-81A3-42E3-9341-A1F91256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940" y="7609234"/>
          <a:ext cx="1289122" cy="1289122"/>
        </a:xfrm>
        <a:prstGeom prst="rect">
          <a:avLst/>
        </a:prstGeom>
      </xdr:spPr>
    </xdr:pic>
    <xdr:clientData/>
  </xdr:twoCellAnchor>
  <xdr:twoCellAnchor editAs="oneCell">
    <xdr:from>
      <xdr:col>2</xdr:col>
      <xdr:colOff>24740</xdr:colOff>
      <xdr:row>15</xdr:row>
      <xdr:rowOff>49805</xdr:rowOff>
    </xdr:from>
    <xdr:to>
      <xdr:col>2</xdr:col>
      <xdr:colOff>1403976</xdr:colOff>
      <xdr:row>15</xdr:row>
      <xdr:rowOff>1391150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D4542E8-4A13-4EF5-9E59-EBA41F36C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628" y="9010825"/>
          <a:ext cx="1379236" cy="1341345"/>
        </a:xfrm>
        <a:prstGeom prst="rect">
          <a:avLst/>
        </a:prstGeom>
      </xdr:spPr>
    </xdr:pic>
    <xdr:clientData/>
  </xdr:twoCellAnchor>
  <xdr:twoCellAnchor editAs="oneCell">
    <xdr:from>
      <xdr:col>2</xdr:col>
      <xdr:colOff>74628</xdr:colOff>
      <xdr:row>18</xdr:row>
      <xdr:rowOff>87487</xdr:rowOff>
    </xdr:from>
    <xdr:to>
      <xdr:col>2</xdr:col>
      <xdr:colOff>1384559</xdr:colOff>
      <xdr:row>18</xdr:row>
      <xdr:rowOff>1397418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DCD17E-663D-46BA-8517-2CF0FD82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516" y="10878309"/>
          <a:ext cx="1309931" cy="1309931"/>
        </a:xfrm>
        <a:prstGeom prst="rect">
          <a:avLst/>
        </a:prstGeom>
      </xdr:spPr>
    </xdr:pic>
    <xdr:clientData/>
  </xdr:twoCellAnchor>
  <xdr:twoCellAnchor editAs="oneCell">
    <xdr:from>
      <xdr:col>2</xdr:col>
      <xdr:colOff>68523</xdr:colOff>
      <xdr:row>19</xdr:row>
      <xdr:rowOff>93345</xdr:rowOff>
    </xdr:from>
    <xdr:to>
      <xdr:col>2</xdr:col>
      <xdr:colOff>1378618</xdr:colOff>
      <xdr:row>19</xdr:row>
      <xdr:rowOff>1317366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40AFB50-512B-44CA-8BA5-227033CD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411" y="12281586"/>
          <a:ext cx="1310095" cy="1224021"/>
        </a:xfrm>
        <a:prstGeom prst="rect">
          <a:avLst/>
        </a:prstGeom>
      </xdr:spPr>
    </xdr:pic>
    <xdr:clientData/>
  </xdr:twoCellAnchor>
  <xdr:twoCellAnchor editAs="oneCell">
    <xdr:from>
      <xdr:col>2</xdr:col>
      <xdr:colOff>37111</xdr:colOff>
      <xdr:row>20</xdr:row>
      <xdr:rowOff>37355</xdr:rowOff>
    </xdr:from>
    <xdr:to>
      <xdr:col>2</xdr:col>
      <xdr:colOff>1359575</xdr:colOff>
      <xdr:row>20</xdr:row>
      <xdr:rowOff>1359819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FB71914-132F-4181-B0D2-01861332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999" y="13623013"/>
          <a:ext cx="1322464" cy="1322464"/>
        </a:xfrm>
        <a:prstGeom prst="rect">
          <a:avLst/>
        </a:prstGeom>
      </xdr:spPr>
    </xdr:pic>
    <xdr:clientData/>
  </xdr:twoCellAnchor>
  <xdr:twoCellAnchor editAs="oneCell">
    <xdr:from>
      <xdr:col>2</xdr:col>
      <xdr:colOff>55828</xdr:colOff>
      <xdr:row>23</xdr:row>
      <xdr:rowOff>62176</xdr:rowOff>
    </xdr:from>
    <xdr:to>
      <xdr:col>2</xdr:col>
      <xdr:colOff>1372352</xdr:colOff>
      <xdr:row>23</xdr:row>
      <xdr:rowOff>1356029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D5A48A4-0DD7-475C-8672-512B10E8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716" y="15477637"/>
          <a:ext cx="1316524" cy="129385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24</xdr:row>
      <xdr:rowOff>24739</xdr:rowOff>
    </xdr:from>
    <xdr:to>
      <xdr:col>2</xdr:col>
      <xdr:colOff>1415973</xdr:colOff>
      <xdr:row>25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A35D175-5492-43A7-BF03-7662DDDE6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183" y="16837618"/>
          <a:ext cx="1372678" cy="1372678"/>
        </a:xfrm>
        <a:prstGeom prst="rect">
          <a:avLst/>
        </a:prstGeom>
      </xdr:spPr>
    </xdr:pic>
    <xdr:clientData/>
  </xdr:twoCellAnchor>
  <xdr:twoCellAnchor editAs="oneCell">
    <xdr:from>
      <xdr:col>2</xdr:col>
      <xdr:colOff>55911</xdr:colOff>
      <xdr:row>25</xdr:row>
      <xdr:rowOff>56154</xdr:rowOff>
    </xdr:from>
    <xdr:to>
      <xdr:col>2</xdr:col>
      <xdr:colOff>1404061</xdr:colOff>
      <xdr:row>25</xdr:row>
      <xdr:rowOff>1347287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8E127D3-4571-423D-B293-BE4EB7D7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799" y="18266450"/>
          <a:ext cx="1348150" cy="1291133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28</xdr:row>
      <xdr:rowOff>24741</xdr:rowOff>
    </xdr:from>
    <xdr:to>
      <xdr:col>2</xdr:col>
      <xdr:colOff>1365816</xdr:colOff>
      <xdr:row>28</xdr:row>
      <xdr:rowOff>1303420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EC9665B-EBAB-4A40-9798-8FFDFFA6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183" y="20064840"/>
          <a:ext cx="1322521" cy="1278679"/>
        </a:xfrm>
        <a:prstGeom prst="rect">
          <a:avLst/>
        </a:prstGeom>
      </xdr:spPr>
    </xdr:pic>
    <xdr:clientData/>
  </xdr:twoCellAnchor>
  <xdr:twoCellAnchor editAs="oneCell">
    <xdr:from>
      <xdr:col>2</xdr:col>
      <xdr:colOff>37110</xdr:colOff>
      <xdr:row>29</xdr:row>
      <xdr:rowOff>24740</xdr:rowOff>
    </xdr:from>
    <xdr:to>
      <xdr:col>2</xdr:col>
      <xdr:colOff>1309524</xdr:colOff>
      <xdr:row>29</xdr:row>
      <xdr:rowOff>1297154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6E0D8C6-6027-4148-AEFB-C1901E1F0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998" y="21462257"/>
          <a:ext cx="1272414" cy="1272414"/>
        </a:xfrm>
        <a:prstGeom prst="rect">
          <a:avLst/>
        </a:prstGeom>
      </xdr:spPr>
    </xdr:pic>
    <xdr:clientData/>
  </xdr:twoCellAnchor>
  <xdr:twoCellAnchor editAs="oneCell">
    <xdr:from>
      <xdr:col>2</xdr:col>
      <xdr:colOff>74791</xdr:colOff>
      <xdr:row>30</xdr:row>
      <xdr:rowOff>93672</xdr:rowOff>
    </xdr:from>
    <xdr:to>
      <xdr:col>2</xdr:col>
      <xdr:colOff>1322139</xdr:colOff>
      <xdr:row>30</xdr:row>
      <xdr:rowOff>1341020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0E0BE6A-8873-4EF0-8413-22640C74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679" y="22928606"/>
          <a:ext cx="1247348" cy="1247348"/>
        </a:xfrm>
        <a:prstGeom prst="rect">
          <a:avLst/>
        </a:prstGeom>
      </xdr:spPr>
    </xdr:pic>
    <xdr:clientData/>
  </xdr:twoCellAnchor>
  <xdr:twoCellAnchor editAs="oneCell">
    <xdr:from>
      <xdr:col>2</xdr:col>
      <xdr:colOff>24741</xdr:colOff>
      <xdr:row>33</xdr:row>
      <xdr:rowOff>25066</xdr:rowOff>
    </xdr:from>
    <xdr:to>
      <xdr:col>2</xdr:col>
      <xdr:colOff>1372027</xdr:colOff>
      <xdr:row>33</xdr:row>
      <xdr:rowOff>1372352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82D782A-9280-4A3F-897B-0D0DF52DE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629" y="24689803"/>
          <a:ext cx="1347286" cy="1347286"/>
        </a:xfrm>
        <a:prstGeom prst="rect">
          <a:avLst/>
        </a:prstGeom>
      </xdr:spPr>
    </xdr:pic>
    <xdr:clientData/>
  </xdr:twoCellAnchor>
  <xdr:twoCellAnchor editAs="oneCell">
    <xdr:from>
      <xdr:col>2</xdr:col>
      <xdr:colOff>43296</xdr:colOff>
      <xdr:row>34</xdr:row>
      <xdr:rowOff>24740</xdr:rowOff>
    </xdr:from>
    <xdr:to>
      <xdr:col>2</xdr:col>
      <xdr:colOff>1383230</xdr:colOff>
      <xdr:row>34</xdr:row>
      <xdr:rowOff>1309687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BEC7C81-6EAA-456F-8C10-75608041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184" y="26086895"/>
          <a:ext cx="1339934" cy="12849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83516</xdr:colOff>
      <xdr:row>4</xdr:row>
      <xdr:rowOff>94691</xdr:rowOff>
    </xdr:from>
    <xdr:to>
      <xdr:col>2</xdr:col>
      <xdr:colOff>1368464</xdr:colOff>
      <xdr:row>4</xdr:row>
      <xdr:rowOff>1379639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E0FE69-093A-414C-B9A2-A60F75B0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064" y="1119533"/>
          <a:ext cx="1284948" cy="1284948"/>
        </a:xfrm>
        <a:prstGeom prst="rect">
          <a:avLst/>
        </a:prstGeom>
      </xdr:spPr>
    </xdr:pic>
    <xdr:clientData/>
  </xdr:twoCellAnchor>
  <xdr:twoCellAnchor editAs="oneCell">
    <xdr:from>
      <xdr:col>2</xdr:col>
      <xdr:colOff>29714</xdr:colOff>
      <xdr:row>5</xdr:row>
      <xdr:rowOff>46969</xdr:rowOff>
    </xdr:from>
    <xdr:to>
      <xdr:col>2</xdr:col>
      <xdr:colOff>1356407</xdr:colOff>
      <xdr:row>5</xdr:row>
      <xdr:rowOff>1362729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8EFA0B-FC77-4CB9-AD2C-ED7D3757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262" y="2464391"/>
          <a:ext cx="1326693" cy="1315760"/>
        </a:xfrm>
        <a:prstGeom prst="rect">
          <a:avLst/>
        </a:prstGeom>
      </xdr:spPr>
    </xdr:pic>
    <xdr:clientData/>
  </xdr:twoCellAnchor>
  <xdr:twoCellAnchor editAs="oneCell">
    <xdr:from>
      <xdr:col>2</xdr:col>
      <xdr:colOff>83295</xdr:colOff>
      <xdr:row>6</xdr:row>
      <xdr:rowOff>82634</xdr:rowOff>
    </xdr:from>
    <xdr:to>
      <xdr:col>2</xdr:col>
      <xdr:colOff>1380521</xdr:colOff>
      <xdr:row>6</xdr:row>
      <xdr:rowOff>1379860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4F3928-2410-46BF-ACCE-9B2FC738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43" y="3892634"/>
          <a:ext cx="1297226" cy="1297226"/>
        </a:xfrm>
        <a:prstGeom prst="rect">
          <a:avLst/>
        </a:prstGeom>
      </xdr:spPr>
    </xdr:pic>
    <xdr:clientData/>
  </xdr:twoCellAnchor>
  <xdr:twoCellAnchor editAs="oneCell">
    <xdr:from>
      <xdr:col>2</xdr:col>
      <xdr:colOff>47171</xdr:colOff>
      <xdr:row>7</xdr:row>
      <xdr:rowOff>28820</xdr:rowOff>
    </xdr:from>
    <xdr:to>
      <xdr:col>2</xdr:col>
      <xdr:colOff>1409299</xdr:colOff>
      <xdr:row>7</xdr:row>
      <xdr:rowOff>1386550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57C4BB-2FF0-42D1-8AA2-F194A294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719" y="5231400"/>
          <a:ext cx="1362128" cy="1357730"/>
        </a:xfrm>
        <a:prstGeom prst="rect">
          <a:avLst/>
        </a:prstGeom>
      </xdr:spPr>
    </xdr:pic>
    <xdr:clientData/>
  </xdr:twoCellAnchor>
  <xdr:twoCellAnchor editAs="oneCell">
    <xdr:from>
      <xdr:col>2</xdr:col>
      <xdr:colOff>47786</xdr:colOff>
      <xdr:row>8</xdr:row>
      <xdr:rowOff>52271</xdr:rowOff>
    </xdr:from>
    <xdr:to>
      <xdr:col>2</xdr:col>
      <xdr:colOff>1363979</xdr:colOff>
      <xdr:row>8</xdr:row>
      <xdr:rowOff>1368464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72BBE2E-D0B1-4D31-87BC-A6445C09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334" y="6647429"/>
          <a:ext cx="1316193" cy="1316193"/>
        </a:xfrm>
        <a:prstGeom prst="rect">
          <a:avLst/>
        </a:prstGeom>
      </xdr:spPr>
    </xdr:pic>
    <xdr:clientData/>
  </xdr:twoCellAnchor>
  <xdr:twoCellAnchor editAs="oneCell">
    <xdr:from>
      <xdr:col>2</xdr:col>
      <xdr:colOff>29922</xdr:colOff>
      <xdr:row>9</xdr:row>
      <xdr:rowOff>84398</xdr:rowOff>
    </xdr:from>
    <xdr:to>
      <xdr:col>2</xdr:col>
      <xdr:colOff>1398608</xdr:colOff>
      <xdr:row>9</xdr:row>
      <xdr:rowOff>1290093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4D00CC-0947-468A-BEF7-0DC78934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470" y="8072136"/>
          <a:ext cx="1368686" cy="1205695"/>
        </a:xfrm>
        <a:prstGeom prst="rect">
          <a:avLst/>
        </a:prstGeom>
      </xdr:spPr>
    </xdr:pic>
    <xdr:clientData/>
  </xdr:twoCellAnchor>
  <xdr:twoCellAnchor editAs="oneCell">
    <xdr:from>
      <xdr:col>2</xdr:col>
      <xdr:colOff>59716</xdr:colOff>
      <xdr:row>10</xdr:row>
      <xdr:rowOff>89104</xdr:rowOff>
    </xdr:from>
    <xdr:to>
      <xdr:col>2</xdr:col>
      <xdr:colOff>1345428</xdr:colOff>
      <xdr:row>10</xdr:row>
      <xdr:rowOff>1374494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4EDAF41-A42F-4EA4-BE40-292184AF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264" y="9469420"/>
          <a:ext cx="1285712" cy="1285390"/>
        </a:xfrm>
        <a:prstGeom prst="rect">
          <a:avLst/>
        </a:prstGeom>
      </xdr:spPr>
    </xdr:pic>
    <xdr:clientData/>
  </xdr:twoCellAnchor>
  <xdr:twoCellAnchor editAs="oneCell">
    <xdr:from>
      <xdr:col>2</xdr:col>
      <xdr:colOff>89763</xdr:colOff>
      <xdr:row>13</xdr:row>
      <xdr:rowOff>46462</xdr:rowOff>
    </xdr:from>
    <xdr:to>
      <xdr:col>2</xdr:col>
      <xdr:colOff>1386548</xdr:colOff>
      <xdr:row>13</xdr:row>
      <xdr:rowOff>1343247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E97DC3-D2C0-4BB3-B388-037248B7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311" y="13604516"/>
          <a:ext cx="1296785" cy="1296785"/>
        </a:xfrm>
        <a:prstGeom prst="rect">
          <a:avLst/>
        </a:prstGeom>
      </xdr:spPr>
    </xdr:pic>
    <xdr:clientData/>
  </xdr:twoCellAnchor>
  <xdr:twoCellAnchor editAs="oneCell">
    <xdr:from>
      <xdr:col>2</xdr:col>
      <xdr:colOff>29040</xdr:colOff>
      <xdr:row>14</xdr:row>
      <xdr:rowOff>114541</xdr:rowOff>
    </xdr:from>
    <xdr:to>
      <xdr:col>2</xdr:col>
      <xdr:colOff>1416694</xdr:colOff>
      <xdr:row>14</xdr:row>
      <xdr:rowOff>1272009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192D835-021F-4359-81CF-8EECA49D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588" y="15065174"/>
          <a:ext cx="1387654" cy="115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40655</xdr:colOff>
      <xdr:row>15</xdr:row>
      <xdr:rowOff>138654</xdr:rowOff>
    </xdr:from>
    <xdr:to>
      <xdr:col>2</xdr:col>
      <xdr:colOff>1435099</xdr:colOff>
      <xdr:row>15</xdr:row>
      <xdr:rowOff>1308179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9050544-4C6A-4044-B38D-98C81753E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03" y="16481867"/>
          <a:ext cx="1394123" cy="1169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11835</xdr:colOff>
      <xdr:row>16</xdr:row>
      <xdr:rowOff>297840</xdr:rowOff>
    </xdr:from>
    <xdr:to>
      <xdr:col>3</xdr:col>
      <xdr:colOff>1964</xdr:colOff>
      <xdr:row>16</xdr:row>
      <xdr:rowOff>1247896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649125A-A788-42BE-9EBD-AA77D4A0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383" y="18033631"/>
          <a:ext cx="1424908" cy="950056"/>
        </a:xfrm>
        <a:prstGeom prst="rect">
          <a:avLst/>
        </a:prstGeom>
      </xdr:spPr>
    </xdr:pic>
    <xdr:clientData/>
  </xdr:twoCellAnchor>
  <xdr:twoCellAnchor editAs="oneCell">
    <xdr:from>
      <xdr:col>2</xdr:col>
      <xdr:colOff>35068</xdr:colOff>
      <xdr:row>17</xdr:row>
      <xdr:rowOff>73626</xdr:rowOff>
    </xdr:from>
    <xdr:to>
      <xdr:col>2</xdr:col>
      <xdr:colOff>1399120</xdr:colOff>
      <xdr:row>17</xdr:row>
      <xdr:rowOff>1217752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0BD92E4-63E7-4E16-AD98-B419604B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616" y="19201997"/>
          <a:ext cx="1364052" cy="1144126"/>
        </a:xfrm>
        <a:prstGeom prst="rect">
          <a:avLst/>
        </a:prstGeom>
      </xdr:spPr>
    </xdr:pic>
    <xdr:clientData/>
  </xdr:twoCellAnchor>
  <xdr:twoCellAnchor editAs="oneCell">
    <xdr:from>
      <xdr:col>2</xdr:col>
      <xdr:colOff>29039</xdr:colOff>
      <xdr:row>18</xdr:row>
      <xdr:rowOff>75503</xdr:rowOff>
    </xdr:from>
    <xdr:to>
      <xdr:col>2</xdr:col>
      <xdr:colOff>1350378</xdr:colOff>
      <xdr:row>18</xdr:row>
      <xdr:rowOff>1341221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AC4FBDB-17D4-4EA3-93D0-781D2FFC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587" y="20596452"/>
          <a:ext cx="1321339" cy="1265718"/>
        </a:xfrm>
        <a:prstGeom prst="rect">
          <a:avLst/>
        </a:prstGeom>
      </xdr:spPr>
    </xdr:pic>
    <xdr:clientData/>
  </xdr:twoCellAnchor>
  <xdr:twoCellAnchor editAs="oneCell">
    <xdr:from>
      <xdr:col>2</xdr:col>
      <xdr:colOff>53595</xdr:colOff>
      <xdr:row>19</xdr:row>
      <xdr:rowOff>53153</xdr:rowOff>
    </xdr:from>
    <xdr:to>
      <xdr:col>2</xdr:col>
      <xdr:colOff>1374935</xdr:colOff>
      <xdr:row>19</xdr:row>
      <xdr:rowOff>1374493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6E0B0D4-C4AD-4FFD-BBF8-4305027CA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143" y="21966682"/>
          <a:ext cx="1321340" cy="1321340"/>
        </a:xfrm>
        <a:prstGeom prst="rect">
          <a:avLst/>
        </a:prstGeom>
      </xdr:spPr>
    </xdr:pic>
    <xdr:clientData/>
  </xdr:twoCellAnchor>
  <xdr:twoCellAnchor editAs="oneCell">
    <xdr:from>
      <xdr:col>2</xdr:col>
      <xdr:colOff>23232</xdr:colOff>
      <xdr:row>20</xdr:row>
      <xdr:rowOff>58079</xdr:rowOff>
    </xdr:from>
    <xdr:to>
      <xdr:col>2</xdr:col>
      <xdr:colOff>1308180</xdr:colOff>
      <xdr:row>20</xdr:row>
      <xdr:rowOff>1343027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264F1A1-F815-49BF-8008-BE4C52407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780" y="23364187"/>
          <a:ext cx="1284948" cy="1284948"/>
        </a:xfrm>
        <a:prstGeom prst="rect">
          <a:avLst/>
        </a:prstGeom>
      </xdr:spPr>
    </xdr:pic>
    <xdr:clientData/>
  </xdr:twoCellAnchor>
  <xdr:twoCellAnchor editAs="oneCell">
    <xdr:from>
      <xdr:col>2</xdr:col>
      <xdr:colOff>11615</xdr:colOff>
      <xdr:row>21</xdr:row>
      <xdr:rowOff>34846</xdr:rowOff>
    </xdr:from>
    <xdr:to>
      <xdr:col>2</xdr:col>
      <xdr:colOff>1303034</xdr:colOff>
      <xdr:row>21</xdr:row>
      <xdr:rowOff>1326265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4B140D5-F8E4-43F6-A974-8337FE52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163" y="24733533"/>
          <a:ext cx="1291419" cy="1291419"/>
        </a:xfrm>
        <a:prstGeom prst="rect">
          <a:avLst/>
        </a:prstGeom>
      </xdr:spPr>
    </xdr:pic>
    <xdr:clientData/>
  </xdr:twoCellAnchor>
  <xdr:twoCellAnchor editAs="oneCell">
    <xdr:from>
      <xdr:col>2</xdr:col>
      <xdr:colOff>59400</xdr:colOff>
      <xdr:row>22</xdr:row>
      <xdr:rowOff>77045</xdr:rowOff>
    </xdr:from>
    <xdr:to>
      <xdr:col>2</xdr:col>
      <xdr:colOff>1344349</xdr:colOff>
      <xdr:row>22</xdr:row>
      <xdr:rowOff>1361994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E83F330-B650-49CB-86A1-FD1FA629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948" y="26168311"/>
          <a:ext cx="1284949" cy="1284949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31750</xdr:rowOff>
    </xdr:from>
    <xdr:to>
      <xdr:col>2</xdr:col>
      <xdr:colOff>1420900</xdr:colOff>
      <xdr:row>23</xdr:row>
      <xdr:rowOff>1363750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995082-79DF-4C4B-B3AC-166BBFCA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0" y="27603450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24</xdr:row>
      <xdr:rowOff>19050</xdr:rowOff>
    </xdr:from>
    <xdr:to>
      <xdr:col>2</xdr:col>
      <xdr:colOff>1414550</xdr:colOff>
      <xdr:row>24</xdr:row>
      <xdr:rowOff>1351050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4711D5-148A-4023-8167-5EB3C374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28987750"/>
          <a:ext cx="1332000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44451</xdr:colOff>
      <xdr:row>26</xdr:row>
      <xdr:rowOff>38100</xdr:rowOff>
    </xdr:from>
    <xdr:to>
      <xdr:col>2</xdr:col>
      <xdr:colOff>1395548</xdr:colOff>
      <xdr:row>26</xdr:row>
      <xdr:rowOff>1365250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194C057-2D28-462F-B7F5-1B476762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651" y="31800800"/>
          <a:ext cx="1351097" cy="13271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11</xdr:row>
      <xdr:rowOff>12700</xdr:rowOff>
    </xdr:from>
    <xdr:to>
      <xdr:col>2</xdr:col>
      <xdr:colOff>1416050</xdr:colOff>
      <xdr:row>11</xdr:row>
      <xdr:rowOff>1365250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BB2569-D6F4-40D8-8B4D-966AD8D6A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colorTemperature colorTemp="47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700" y="1082040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12</xdr:row>
      <xdr:rowOff>6350</xdr:rowOff>
    </xdr:from>
    <xdr:to>
      <xdr:col>2</xdr:col>
      <xdr:colOff>1403350</xdr:colOff>
      <xdr:row>12</xdr:row>
      <xdr:rowOff>1352196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6BB99EF-5083-4FF9-8E13-84E23BA1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2211050"/>
          <a:ext cx="1346200" cy="1345846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25</xdr:row>
      <xdr:rowOff>50511</xdr:rowOff>
    </xdr:from>
    <xdr:to>
      <xdr:col>2</xdr:col>
      <xdr:colOff>1378238</xdr:colOff>
      <xdr:row>25</xdr:row>
      <xdr:rowOff>1363806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A332EA-F448-4C8C-BFB4-097A09C8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30321250"/>
          <a:ext cx="1313295" cy="1313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4E602-2F26-40A6-8C4A-46330C737364}">
  <sheetPr>
    <tabColor rgb="FF00B0F0"/>
  </sheetPr>
  <dimension ref="B2:W21"/>
  <sheetViews>
    <sheetView tabSelected="1" topLeftCell="A8" zoomScale="57" zoomScaleNormal="57" workbookViewId="0">
      <selection activeCell="G7" sqref="G7"/>
    </sheetView>
  </sheetViews>
  <sheetFormatPr defaultRowHeight="14.25" x14ac:dyDescent="0.45"/>
  <cols>
    <col min="2" max="2" width="13.33203125" customWidth="1"/>
    <col min="3" max="3" width="20" style="23" customWidth="1"/>
    <col min="6" max="6" width="11.73046875" customWidth="1"/>
    <col min="7" max="19" width="10.59765625" customWidth="1"/>
    <col min="23" max="23" width="11.73046875" customWidth="1"/>
  </cols>
  <sheetData>
    <row r="2" spans="2:23" s="23" customFormat="1" x14ac:dyDescent="0.45">
      <c r="B2" s="422" t="s">
        <v>96</v>
      </c>
      <c r="C2" s="422"/>
      <c r="D2" s="422"/>
      <c r="E2" s="422"/>
    </row>
    <row r="3" spans="2:23" s="23" customFormat="1" ht="20" customHeight="1" thickBot="1" x14ac:dyDescent="0.5">
      <c r="B3" s="422"/>
      <c r="C3" s="422"/>
      <c r="D3" s="422"/>
      <c r="E3" s="422"/>
      <c r="G3" s="396" t="s">
        <v>310</v>
      </c>
      <c r="H3" s="397" t="s">
        <v>311</v>
      </c>
      <c r="I3" s="398" t="s">
        <v>312</v>
      </c>
      <c r="J3" s="399" t="s">
        <v>313</v>
      </c>
      <c r="K3" s="400" t="s">
        <v>314</v>
      </c>
      <c r="L3" s="401" t="s">
        <v>315</v>
      </c>
      <c r="M3" s="402" t="s">
        <v>316</v>
      </c>
      <c r="N3" s="403" t="s">
        <v>317</v>
      </c>
      <c r="O3" s="404" t="s">
        <v>318</v>
      </c>
      <c r="P3" s="405" t="s">
        <v>319</v>
      </c>
      <c r="Q3" s="406" t="s">
        <v>320</v>
      </c>
      <c r="R3" s="407" t="s">
        <v>321</v>
      </c>
      <c r="S3" s="408" t="s">
        <v>322</v>
      </c>
    </row>
    <row r="4" spans="2:23" ht="14.65" thickBot="1" x14ac:dyDescent="0.5">
      <c r="B4" s="212" t="s">
        <v>11</v>
      </c>
      <c r="C4" s="213" t="s">
        <v>216</v>
      </c>
      <c r="D4" s="214" t="s">
        <v>12</v>
      </c>
      <c r="E4" s="214" t="s">
        <v>13</v>
      </c>
      <c r="F4" s="214" t="s">
        <v>14</v>
      </c>
      <c r="G4" s="53">
        <v>2</v>
      </c>
      <c r="H4" s="54">
        <v>5</v>
      </c>
      <c r="I4" s="55">
        <v>7</v>
      </c>
      <c r="J4" s="56">
        <v>10</v>
      </c>
      <c r="K4" s="57">
        <v>11</v>
      </c>
      <c r="L4" s="58">
        <v>12</v>
      </c>
      <c r="M4" s="59">
        <v>13</v>
      </c>
      <c r="N4" s="60">
        <v>16</v>
      </c>
      <c r="O4" s="61">
        <v>69</v>
      </c>
      <c r="P4" s="62">
        <v>76</v>
      </c>
      <c r="Q4" s="63">
        <v>77</v>
      </c>
      <c r="R4" s="45">
        <v>79</v>
      </c>
      <c r="S4" s="52">
        <v>81</v>
      </c>
      <c r="T4" s="46" t="s">
        <v>60</v>
      </c>
      <c r="U4" s="46" t="s">
        <v>61</v>
      </c>
      <c r="V4" s="46" t="s">
        <v>59</v>
      </c>
      <c r="W4" s="47" t="s">
        <v>201</v>
      </c>
    </row>
    <row r="5" spans="2:23" ht="14.65" thickBot="1" x14ac:dyDescent="0.5">
      <c r="B5" s="21"/>
      <c r="C5" s="21"/>
      <c r="D5" s="21"/>
      <c r="E5" s="21"/>
      <c r="F5" s="11"/>
      <c r="G5" s="4"/>
      <c r="H5" s="4"/>
      <c r="I5" s="4"/>
      <c r="J5" s="5"/>
      <c r="K5" s="4"/>
      <c r="L5" s="4"/>
      <c r="M5" s="4"/>
      <c r="N5" s="4"/>
      <c r="O5" s="4"/>
      <c r="P5" s="4"/>
      <c r="Q5" s="4"/>
      <c r="R5" s="4"/>
      <c r="S5" s="4"/>
      <c r="T5" s="14"/>
      <c r="U5" s="14"/>
      <c r="V5" s="14"/>
      <c r="W5" s="15"/>
    </row>
    <row r="6" spans="2:23" ht="110" customHeight="1" x14ac:dyDescent="0.45">
      <c r="B6" s="132" t="s">
        <v>97</v>
      </c>
      <c r="C6" s="88"/>
      <c r="D6" s="134">
        <v>15</v>
      </c>
      <c r="E6" s="134" t="s">
        <v>110</v>
      </c>
      <c r="F6" s="135">
        <v>58</v>
      </c>
      <c r="G6" s="194"/>
      <c r="H6" s="195"/>
      <c r="I6" s="196"/>
      <c r="J6" s="197"/>
      <c r="K6" s="210"/>
      <c r="L6" s="199"/>
      <c r="M6" s="200"/>
      <c r="N6" s="201"/>
      <c r="O6" s="202"/>
      <c r="P6" s="203"/>
      <c r="Q6" s="204"/>
      <c r="R6" s="205"/>
      <c r="S6" s="206"/>
      <c r="T6" s="136">
        <f t="shared" ref="T6:T20" si="0">SUM(G6:S6)</f>
        <v>0</v>
      </c>
      <c r="U6" s="136">
        <f t="shared" ref="U6:U20" si="1">D6*T6</f>
        <v>0</v>
      </c>
      <c r="V6" s="136">
        <f>T6*0.28</f>
        <v>0</v>
      </c>
      <c r="W6" s="138">
        <f t="shared" ref="W6:W20" si="2">F6*T6</f>
        <v>0</v>
      </c>
    </row>
    <row r="7" spans="2:23" s="23" customFormat="1" ht="110" customHeight="1" x14ac:dyDescent="0.45">
      <c r="B7" s="132" t="s">
        <v>306</v>
      </c>
      <c r="C7" s="88"/>
      <c r="D7" s="134">
        <v>5</v>
      </c>
      <c r="E7" s="134" t="s">
        <v>308</v>
      </c>
      <c r="F7" s="135">
        <v>21</v>
      </c>
      <c r="G7" s="194"/>
      <c r="H7" s="195"/>
      <c r="I7" s="196"/>
      <c r="J7" s="197"/>
      <c r="K7" s="210"/>
      <c r="L7" s="199"/>
      <c r="M7" s="200"/>
      <c r="N7" s="201"/>
      <c r="O7" s="202"/>
      <c r="P7" s="203"/>
      <c r="Q7" s="204"/>
      <c r="R7" s="205"/>
      <c r="S7" s="206"/>
      <c r="T7" s="136">
        <f>SUM(G7:S7)</f>
        <v>0</v>
      </c>
      <c r="U7" s="136">
        <f>T7*D7</f>
        <v>0</v>
      </c>
      <c r="V7" s="136">
        <f>T7*0.15</f>
        <v>0</v>
      </c>
      <c r="W7" s="138">
        <f>T7*F7</f>
        <v>0</v>
      </c>
    </row>
    <row r="8" spans="2:23" s="23" customFormat="1" ht="110" customHeight="1" x14ac:dyDescent="0.45">
      <c r="B8" s="132" t="s">
        <v>307</v>
      </c>
      <c r="C8" s="88"/>
      <c r="D8" s="134">
        <v>5</v>
      </c>
      <c r="E8" s="134" t="s">
        <v>309</v>
      </c>
      <c r="F8" s="135">
        <v>26</v>
      </c>
      <c r="G8" s="194"/>
      <c r="H8" s="195"/>
      <c r="I8" s="196"/>
      <c r="J8" s="197"/>
      <c r="K8" s="210"/>
      <c r="L8" s="199"/>
      <c r="M8" s="200"/>
      <c r="N8" s="201"/>
      <c r="O8" s="202"/>
      <c r="P8" s="203"/>
      <c r="Q8" s="204"/>
      <c r="R8" s="205"/>
      <c r="S8" s="206"/>
      <c r="T8" s="136">
        <f>SUM(G8:S8)</f>
        <v>0</v>
      </c>
      <c r="U8" s="136">
        <f>T8*D8</f>
        <v>0</v>
      </c>
      <c r="V8" s="136">
        <f>T8*0.23</f>
        <v>0</v>
      </c>
      <c r="W8" s="138">
        <f>T8*F8</f>
        <v>0</v>
      </c>
    </row>
    <row r="9" spans="2:23" ht="110" customHeight="1" x14ac:dyDescent="0.45">
      <c r="B9" s="114" t="s">
        <v>98</v>
      </c>
      <c r="C9" s="89"/>
      <c r="D9" s="118">
        <v>10</v>
      </c>
      <c r="E9" s="118" t="s">
        <v>111</v>
      </c>
      <c r="F9" s="119">
        <v>61</v>
      </c>
      <c r="G9" s="155"/>
      <c r="H9" s="156"/>
      <c r="I9" s="157"/>
      <c r="J9" s="158"/>
      <c r="K9" s="207"/>
      <c r="L9" s="160"/>
      <c r="M9" s="161"/>
      <c r="N9" s="162"/>
      <c r="O9" s="163"/>
      <c r="P9" s="164"/>
      <c r="Q9" s="165"/>
      <c r="R9" s="166"/>
      <c r="S9" s="167"/>
      <c r="T9" s="120">
        <f t="shared" si="0"/>
        <v>0</v>
      </c>
      <c r="U9" s="120">
        <f t="shared" si="1"/>
        <v>0</v>
      </c>
      <c r="V9" s="120">
        <f>T9*0.6</f>
        <v>0</v>
      </c>
      <c r="W9" s="140">
        <f t="shared" si="2"/>
        <v>0</v>
      </c>
    </row>
    <row r="10" spans="2:23" ht="110" customHeight="1" x14ac:dyDescent="0.45">
      <c r="B10" s="114" t="s">
        <v>99</v>
      </c>
      <c r="C10" s="89"/>
      <c r="D10" s="118">
        <v>10</v>
      </c>
      <c r="E10" s="118" t="s">
        <v>112</v>
      </c>
      <c r="F10" s="119">
        <v>90</v>
      </c>
      <c r="G10" s="155"/>
      <c r="H10" s="156"/>
      <c r="I10" s="157"/>
      <c r="J10" s="158"/>
      <c r="K10" s="207"/>
      <c r="L10" s="160"/>
      <c r="M10" s="161"/>
      <c r="N10" s="162"/>
      <c r="O10" s="163"/>
      <c r="P10" s="164"/>
      <c r="Q10" s="165"/>
      <c r="R10" s="166"/>
      <c r="S10" s="167"/>
      <c r="T10" s="120">
        <f t="shared" si="0"/>
        <v>0</v>
      </c>
      <c r="U10" s="120">
        <f t="shared" si="1"/>
        <v>0</v>
      </c>
      <c r="V10" s="120">
        <f>T10*1.15</f>
        <v>0</v>
      </c>
      <c r="W10" s="140">
        <f t="shared" si="2"/>
        <v>0</v>
      </c>
    </row>
    <row r="11" spans="2:23" ht="110" customHeight="1" x14ac:dyDescent="0.45">
      <c r="B11" s="114" t="s">
        <v>100</v>
      </c>
      <c r="C11" s="89"/>
      <c r="D11" s="118">
        <v>10</v>
      </c>
      <c r="E11" s="118" t="s">
        <v>113</v>
      </c>
      <c r="F11" s="119">
        <v>143</v>
      </c>
      <c r="G11" s="155"/>
      <c r="H11" s="156"/>
      <c r="I11" s="157"/>
      <c r="J11" s="158"/>
      <c r="K11" s="207"/>
      <c r="L11" s="160"/>
      <c r="M11" s="161"/>
      <c r="N11" s="162"/>
      <c r="O11" s="163"/>
      <c r="P11" s="164"/>
      <c r="Q11" s="165"/>
      <c r="R11" s="166"/>
      <c r="S11" s="167"/>
      <c r="T11" s="120">
        <f t="shared" si="0"/>
        <v>0</v>
      </c>
      <c r="U11" s="120">
        <f t="shared" si="1"/>
        <v>0</v>
      </c>
      <c r="V11" s="120">
        <f>T11*2.14</f>
        <v>0</v>
      </c>
      <c r="W11" s="140">
        <f t="shared" si="2"/>
        <v>0</v>
      </c>
    </row>
    <row r="12" spans="2:23" ht="110" customHeight="1" x14ac:dyDescent="0.45">
      <c r="B12" s="114" t="s">
        <v>101</v>
      </c>
      <c r="C12" s="89"/>
      <c r="D12" s="118">
        <v>10</v>
      </c>
      <c r="E12" s="118" t="s">
        <v>114</v>
      </c>
      <c r="F12" s="119">
        <v>215</v>
      </c>
      <c r="G12" s="155"/>
      <c r="H12" s="156"/>
      <c r="I12" s="157"/>
      <c r="J12" s="158"/>
      <c r="K12" s="159"/>
      <c r="L12" s="160"/>
      <c r="M12" s="161"/>
      <c r="N12" s="162"/>
      <c r="O12" s="163"/>
      <c r="P12" s="164"/>
      <c r="Q12" s="165"/>
      <c r="R12" s="166"/>
      <c r="S12" s="167"/>
      <c r="T12" s="120">
        <f t="shared" si="0"/>
        <v>0</v>
      </c>
      <c r="U12" s="120">
        <f t="shared" si="1"/>
        <v>0</v>
      </c>
      <c r="V12" s="120">
        <f>T12*3.46</f>
        <v>0</v>
      </c>
      <c r="W12" s="140">
        <f t="shared" si="2"/>
        <v>0</v>
      </c>
    </row>
    <row r="13" spans="2:23" ht="110" customHeight="1" x14ac:dyDescent="0.45">
      <c r="B13" s="114" t="s">
        <v>102</v>
      </c>
      <c r="C13" s="89"/>
      <c r="D13" s="118">
        <v>10</v>
      </c>
      <c r="E13" s="118" t="s">
        <v>115</v>
      </c>
      <c r="F13" s="119">
        <v>282</v>
      </c>
      <c r="G13" s="155"/>
      <c r="H13" s="156"/>
      <c r="I13" s="157"/>
      <c r="J13" s="158"/>
      <c r="K13" s="159"/>
      <c r="L13" s="160"/>
      <c r="M13" s="161"/>
      <c r="N13" s="162"/>
      <c r="O13" s="163"/>
      <c r="P13" s="164"/>
      <c r="Q13" s="165"/>
      <c r="R13" s="166"/>
      <c r="S13" s="167"/>
      <c r="T13" s="120">
        <f t="shared" si="0"/>
        <v>0</v>
      </c>
      <c r="U13" s="120">
        <f t="shared" si="1"/>
        <v>0</v>
      </c>
      <c r="V13" s="120">
        <f>T13*2.46</f>
        <v>0</v>
      </c>
      <c r="W13" s="140">
        <f t="shared" si="2"/>
        <v>0</v>
      </c>
    </row>
    <row r="14" spans="2:23" ht="110" customHeight="1" x14ac:dyDescent="0.45">
      <c r="B14" s="114" t="s">
        <v>103</v>
      </c>
      <c r="C14" s="89"/>
      <c r="D14" s="118">
        <v>5</v>
      </c>
      <c r="E14" s="118" t="s">
        <v>116</v>
      </c>
      <c r="F14" s="119">
        <v>257</v>
      </c>
      <c r="G14" s="155"/>
      <c r="H14" s="156"/>
      <c r="I14" s="157"/>
      <c r="J14" s="158"/>
      <c r="K14" s="159"/>
      <c r="L14" s="160"/>
      <c r="M14" s="161"/>
      <c r="N14" s="162"/>
      <c r="O14" s="163"/>
      <c r="P14" s="164"/>
      <c r="Q14" s="165"/>
      <c r="R14" s="166"/>
      <c r="S14" s="167"/>
      <c r="T14" s="120">
        <f t="shared" si="0"/>
        <v>0</v>
      </c>
      <c r="U14" s="120">
        <f t="shared" si="1"/>
        <v>0</v>
      </c>
      <c r="V14" s="120">
        <f>T14*3.08</f>
        <v>0</v>
      </c>
      <c r="W14" s="140">
        <f t="shared" si="2"/>
        <v>0</v>
      </c>
    </row>
    <row r="15" spans="2:23" ht="110" customHeight="1" x14ac:dyDescent="0.45">
      <c r="B15" s="114" t="s">
        <v>104</v>
      </c>
      <c r="C15" s="89"/>
      <c r="D15" s="118">
        <v>5</v>
      </c>
      <c r="E15" s="118" t="s">
        <v>117</v>
      </c>
      <c r="F15" s="119">
        <v>257</v>
      </c>
      <c r="G15" s="155"/>
      <c r="H15" s="156"/>
      <c r="I15" s="157"/>
      <c r="J15" s="158"/>
      <c r="K15" s="159"/>
      <c r="L15" s="160"/>
      <c r="M15" s="161"/>
      <c r="N15" s="162"/>
      <c r="O15" s="163"/>
      <c r="P15" s="164"/>
      <c r="Q15" s="165"/>
      <c r="R15" s="166"/>
      <c r="S15" s="167"/>
      <c r="T15" s="120">
        <f t="shared" si="0"/>
        <v>0</v>
      </c>
      <c r="U15" s="120">
        <f t="shared" si="1"/>
        <v>0</v>
      </c>
      <c r="V15" s="120">
        <f>T15*2.9</f>
        <v>0</v>
      </c>
      <c r="W15" s="140">
        <f t="shared" si="2"/>
        <v>0</v>
      </c>
    </row>
    <row r="16" spans="2:23" ht="110" customHeight="1" x14ac:dyDescent="0.45">
      <c r="B16" s="114" t="s">
        <v>105</v>
      </c>
      <c r="C16" s="89"/>
      <c r="D16" s="118">
        <v>5</v>
      </c>
      <c r="E16" s="118" t="s">
        <v>118</v>
      </c>
      <c r="F16" s="119">
        <v>431</v>
      </c>
      <c r="G16" s="155"/>
      <c r="H16" s="156"/>
      <c r="I16" s="157"/>
      <c r="J16" s="158"/>
      <c r="K16" s="159"/>
      <c r="L16" s="160"/>
      <c r="M16" s="161"/>
      <c r="N16" s="162"/>
      <c r="O16" s="163"/>
      <c r="P16" s="164"/>
      <c r="Q16" s="165"/>
      <c r="R16" s="166"/>
      <c r="S16" s="167"/>
      <c r="T16" s="120">
        <f t="shared" si="0"/>
        <v>0</v>
      </c>
      <c r="U16" s="120">
        <f t="shared" si="1"/>
        <v>0</v>
      </c>
      <c r="V16" s="120">
        <f>T16*5.85</f>
        <v>0</v>
      </c>
      <c r="W16" s="140">
        <f t="shared" si="2"/>
        <v>0</v>
      </c>
    </row>
    <row r="17" spans="2:23" ht="110" customHeight="1" x14ac:dyDescent="0.45">
      <c r="B17" s="114" t="s">
        <v>106</v>
      </c>
      <c r="C17" s="89"/>
      <c r="D17" s="118">
        <v>2</v>
      </c>
      <c r="E17" s="118" t="s">
        <v>119</v>
      </c>
      <c r="F17" s="119">
        <v>231</v>
      </c>
      <c r="G17" s="155"/>
      <c r="H17" s="156"/>
      <c r="I17" s="157"/>
      <c r="J17" s="158"/>
      <c r="K17" s="159"/>
      <c r="L17" s="160"/>
      <c r="M17" s="161"/>
      <c r="N17" s="162"/>
      <c r="O17" s="163"/>
      <c r="P17" s="164"/>
      <c r="Q17" s="165"/>
      <c r="R17" s="166"/>
      <c r="S17" s="167"/>
      <c r="T17" s="120">
        <f t="shared" si="0"/>
        <v>0</v>
      </c>
      <c r="U17" s="120">
        <f t="shared" si="1"/>
        <v>0</v>
      </c>
      <c r="V17" s="120">
        <f>T17*3.31</f>
        <v>0</v>
      </c>
      <c r="W17" s="140">
        <f t="shared" si="2"/>
        <v>0</v>
      </c>
    </row>
    <row r="18" spans="2:23" ht="110" customHeight="1" x14ac:dyDescent="0.45">
      <c r="B18" s="114" t="s">
        <v>107</v>
      </c>
      <c r="C18" s="89"/>
      <c r="D18" s="118">
        <v>2</v>
      </c>
      <c r="E18" s="118" t="s">
        <v>120</v>
      </c>
      <c r="F18" s="119">
        <v>302</v>
      </c>
      <c r="G18" s="155"/>
      <c r="H18" s="156"/>
      <c r="I18" s="157"/>
      <c r="J18" s="158"/>
      <c r="K18" s="159"/>
      <c r="L18" s="160"/>
      <c r="M18" s="161"/>
      <c r="N18" s="162"/>
      <c r="O18" s="163"/>
      <c r="P18" s="164"/>
      <c r="Q18" s="165"/>
      <c r="R18" s="166"/>
      <c r="S18" s="167"/>
      <c r="T18" s="120">
        <f t="shared" si="0"/>
        <v>0</v>
      </c>
      <c r="U18" s="120">
        <f t="shared" si="1"/>
        <v>0</v>
      </c>
      <c r="V18" s="120">
        <f>T18*4.27</f>
        <v>0</v>
      </c>
      <c r="W18" s="140">
        <f t="shared" si="2"/>
        <v>0</v>
      </c>
    </row>
    <row r="19" spans="2:23" ht="110" customHeight="1" x14ac:dyDescent="0.45">
      <c r="B19" s="114" t="s">
        <v>108</v>
      </c>
      <c r="C19" s="89"/>
      <c r="D19" s="118">
        <v>2</v>
      </c>
      <c r="E19" s="118" t="s">
        <v>121</v>
      </c>
      <c r="F19" s="119">
        <v>290</v>
      </c>
      <c r="G19" s="155"/>
      <c r="H19" s="156"/>
      <c r="I19" s="157"/>
      <c r="J19" s="158"/>
      <c r="K19" s="159"/>
      <c r="L19" s="160"/>
      <c r="M19" s="161"/>
      <c r="N19" s="162"/>
      <c r="O19" s="163"/>
      <c r="P19" s="164"/>
      <c r="Q19" s="165"/>
      <c r="R19" s="166"/>
      <c r="S19" s="167"/>
      <c r="T19" s="120">
        <f t="shared" si="0"/>
        <v>0</v>
      </c>
      <c r="U19" s="120">
        <f t="shared" si="1"/>
        <v>0</v>
      </c>
      <c r="V19" s="120">
        <f>T19*4.24</f>
        <v>0</v>
      </c>
      <c r="W19" s="140">
        <f t="shared" si="2"/>
        <v>0</v>
      </c>
    </row>
    <row r="20" spans="2:23" ht="110" customHeight="1" thickBot="1" x14ac:dyDescent="0.5">
      <c r="B20" s="99" t="s">
        <v>109</v>
      </c>
      <c r="C20" s="90"/>
      <c r="D20" s="105">
        <v>2</v>
      </c>
      <c r="E20" s="105" t="s">
        <v>122</v>
      </c>
      <c r="F20" s="106">
        <v>221</v>
      </c>
      <c r="G20" s="168"/>
      <c r="H20" s="169"/>
      <c r="I20" s="170"/>
      <c r="J20" s="171"/>
      <c r="K20" s="172"/>
      <c r="L20" s="173"/>
      <c r="M20" s="174"/>
      <c r="N20" s="175"/>
      <c r="O20" s="176"/>
      <c r="P20" s="177"/>
      <c r="Q20" s="178"/>
      <c r="R20" s="179"/>
      <c r="S20" s="180"/>
      <c r="T20" s="112">
        <f t="shared" si="0"/>
        <v>0</v>
      </c>
      <c r="U20" s="112">
        <f t="shared" si="1"/>
        <v>0</v>
      </c>
      <c r="V20" s="112">
        <f>T20*3.14</f>
        <v>0</v>
      </c>
      <c r="W20" s="141">
        <f t="shared" si="2"/>
        <v>0</v>
      </c>
    </row>
    <row r="21" spans="2:23" x14ac:dyDescent="0.45">
      <c r="B21" s="22"/>
      <c r="C21" s="86"/>
      <c r="D21" s="22"/>
      <c r="E21" s="22"/>
      <c r="F21" s="10"/>
      <c r="G21" s="16">
        <f>SUM(G6:G20)</f>
        <v>0</v>
      </c>
      <c r="H21" s="16">
        <f>SUM(H6:H20)</f>
        <v>0</v>
      </c>
      <c r="I21" s="16">
        <f>SUM(I6:I20)</f>
        <v>0</v>
      </c>
      <c r="J21" s="211">
        <f>+SUM(J6:J20)</f>
        <v>0</v>
      </c>
      <c r="K21" s="16">
        <f t="shared" ref="K21:W21" si="3">SUM(K6:K20)</f>
        <v>0</v>
      </c>
      <c r="L21" s="16">
        <f t="shared" si="3"/>
        <v>0</v>
      </c>
      <c r="M21" s="16">
        <f t="shared" si="3"/>
        <v>0</v>
      </c>
      <c r="N21" s="16">
        <f t="shared" si="3"/>
        <v>0</v>
      </c>
      <c r="O21" s="16">
        <f t="shared" si="3"/>
        <v>0</v>
      </c>
      <c r="P21" s="16">
        <f t="shared" si="3"/>
        <v>0</v>
      </c>
      <c r="Q21" s="16">
        <f t="shared" si="3"/>
        <v>0</v>
      </c>
      <c r="R21" s="16">
        <f t="shared" si="3"/>
        <v>0</v>
      </c>
      <c r="S21" s="16">
        <f t="shared" si="3"/>
        <v>0</v>
      </c>
      <c r="T21" s="16">
        <f t="shared" si="3"/>
        <v>0</v>
      </c>
      <c r="U21" s="16">
        <f t="shared" si="3"/>
        <v>0</v>
      </c>
      <c r="V21" s="16">
        <f t="shared" si="3"/>
        <v>0</v>
      </c>
      <c r="W21" s="25">
        <f t="shared" si="3"/>
        <v>0</v>
      </c>
    </row>
  </sheetData>
  <sheetProtection algorithmName="SHA-512" hashValue="nvZAWA0sPCM2EJDSlahL2tWBAfuzv/zgfjUmgbZIn+1y2xyOIHNk+MWNjty93nW9zHYCdYeKKtzCTioI91xVSg==" saltValue="q53tdhPfY/y3Re3nIPKdiQ==" spinCount="100000" sheet="1" objects="1" scenarios="1" selectLockedCells="1"/>
  <mergeCells count="1">
    <mergeCell ref="B2:E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4C42-E10E-4DDA-8379-6DA4A946A750}">
  <sheetPr>
    <tabColor rgb="FF7030A0"/>
  </sheetPr>
  <dimension ref="B2:W30"/>
  <sheetViews>
    <sheetView topLeftCell="B17" zoomScale="70" zoomScaleNormal="70" workbookViewId="0">
      <selection activeCell="G29" sqref="G29"/>
    </sheetView>
  </sheetViews>
  <sheetFormatPr defaultRowHeight="14.25" x14ac:dyDescent="0.45"/>
  <cols>
    <col min="2" max="2" width="13.33203125" customWidth="1"/>
    <col min="3" max="3" width="23.73046875" style="23" customWidth="1"/>
    <col min="6" max="6" width="11.59765625" customWidth="1"/>
    <col min="7" max="19" width="10.59765625" customWidth="1"/>
    <col min="23" max="23" width="11.796875" customWidth="1"/>
  </cols>
  <sheetData>
    <row r="2" spans="2:23" x14ac:dyDescent="0.45">
      <c r="B2" s="423" t="s">
        <v>123</v>
      </c>
      <c r="C2" s="423"/>
      <c r="D2" s="423"/>
      <c r="E2" s="22"/>
      <c r="F2" s="10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12"/>
      <c r="U2" s="12"/>
      <c r="V2" s="12"/>
      <c r="W2" s="13"/>
    </row>
    <row r="3" spans="2:23" ht="20" customHeight="1" thickBot="1" x14ac:dyDescent="0.5">
      <c r="B3" s="423"/>
      <c r="C3" s="423"/>
      <c r="D3" s="423"/>
      <c r="E3" s="22"/>
      <c r="F3" s="10"/>
      <c r="G3" s="396" t="s">
        <v>310</v>
      </c>
      <c r="H3" s="397" t="s">
        <v>311</v>
      </c>
      <c r="I3" s="398" t="s">
        <v>312</v>
      </c>
      <c r="J3" s="399" t="s">
        <v>313</v>
      </c>
      <c r="K3" s="400" t="s">
        <v>314</v>
      </c>
      <c r="L3" s="401" t="s">
        <v>315</v>
      </c>
      <c r="M3" s="402" t="s">
        <v>316</v>
      </c>
      <c r="N3" s="403" t="s">
        <v>317</v>
      </c>
      <c r="O3" s="404" t="s">
        <v>318</v>
      </c>
      <c r="P3" s="405" t="s">
        <v>319</v>
      </c>
      <c r="Q3" s="406" t="s">
        <v>320</v>
      </c>
      <c r="R3" s="407" t="s">
        <v>321</v>
      </c>
      <c r="S3" s="408" t="s">
        <v>322</v>
      </c>
      <c r="T3" s="12"/>
      <c r="U3" s="12"/>
      <c r="V3" s="12"/>
      <c r="W3" s="13"/>
    </row>
    <row r="4" spans="2:23" s="23" customFormat="1" ht="15" customHeight="1" thickBot="1" x14ac:dyDescent="0.5">
      <c r="B4" s="212" t="s">
        <v>11</v>
      </c>
      <c r="C4" s="213" t="s">
        <v>216</v>
      </c>
      <c r="D4" s="214" t="s">
        <v>12</v>
      </c>
      <c r="E4" s="214" t="s">
        <v>13</v>
      </c>
      <c r="F4" s="214" t="s">
        <v>14</v>
      </c>
      <c r="G4" s="53">
        <v>2</v>
      </c>
      <c r="H4" s="54">
        <v>5</v>
      </c>
      <c r="I4" s="55">
        <v>7</v>
      </c>
      <c r="J4" s="56">
        <v>10</v>
      </c>
      <c r="K4" s="57">
        <v>11</v>
      </c>
      <c r="L4" s="58">
        <v>12</v>
      </c>
      <c r="M4" s="59">
        <v>13</v>
      </c>
      <c r="N4" s="60">
        <v>16</v>
      </c>
      <c r="O4" s="61">
        <v>69</v>
      </c>
      <c r="P4" s="62">
        <v>76</v>
      </c>
      <c r="Q4" s="63">
        <v>77</v>
      </c>
      <c r="R4" s="45">
        <v>79</v>
      </c>
      <c r="S4" s="52">
        <v>81</v>
      </c>
      <c r="T4" s="46" t="s">
        <v>60</v>
      </c>
      <c r="U4" s="46" t="s">
        <v>61</v>
      </c>
      <c r="V4" s="46" t="s">
        <v>59</v>
      </c>
      <c r="W4" s="47" t="s">
        <v>201</v>
      </c>
    </row>
    <row r="5" spans="2:23" ht="14.65" thickBot="1" x14ac:dyDescent="0.5">
      <c r="B5" s="86"/>
      <c r="C5" s="86"/>
      <c r="D5" s="86"/>
      <c r="E5" s="86"/>
      <c r="F5" s="10"/>
      <c r="G5" s="2"/>
      <c r="H5" s="2"/>
      <c r="I5" s="2"/>
      <c r="J5" s="3"/>
      <c r="K5" s="2"/>
      <c r="L5" s="2"/>
      <c r="M5" s="2"/>
      <c r="N5" s="2"/>
      <c r="O5" s="2"/>
      <c r="P5" s="2"/>
      <c r="Q5" s="2"/>
      <c r="R5" s="2"/>
      <c r="S5" s="2"/>
      <c r="T5" s="12"/>
      <c r="U5" s="12"/>
      <c r="V5" s="12"/>
      <c r="W5" s="13"/>
    </row>
    <row r="6" spans="2:23" ht="140" customHeight="1" x14ac:dyDescent="0.45">
      <c r="B6" s="238" t="s">
        <v>168</v>
      </c>
      <c r="C6" s="239"/>
      <c r="D6" s="240">
        <v>5</v>
      </c>
      <c r="E6" s="240" t="s">
        <v>169</v>
      </c>
      <c r="F6" s="241">
        <v>93</v>
      </c>
      <c r="G6" s="142"/>
      <c r="H6" s="143"/>
      <c r="I6" s="144"/>
      <c r="J6" s="145"/>
      <c r="K6" s="146"/>
      <c r="L6" s="147"/>
      <c r="M6" s="148"/>
      <c r="N6" s="149"/>
      <c r="O6" s="150"/>
      <c r="P6" s="151"/>
      <c r="Q6" s="152"/>
      <c r="R6" s="153"/>
      <c r="S6" s="154"/>
      <c r="T6" s="242">
        <f>SUM(G6:S6)</f>
        <v>0</v>
      </c>
      <c r="U6" s="242">
        <f>D6*T6</f>
        <v>0</v>
      </c>
      <c r="V6" s="242">
        <f>T6*1.48</f>
        <v>0</v>
      </c>
      <c r="W6" s="243">
        <f>F6*T6</f>
        <v>0</v>
      </c>
    </row>
    <row r="7" spans="2:23" ht="130.05000000000001" customHeight="1" x14ac:dyDescent="0.45">
      <c r="B7" s="114" t="s">
        <v>170</v>
      </c>
      <c r="C7" s="89"/>
      <c r="D7" s="118">
        <v>5</v>
      </c>
      <c r="E7" s="118" t="s">
        <v>171</v>
      </c>
      <c r="F7" s="119">
        <v>80</v>
      </c>
      <c r="G7" s="155"/>
      <c r="H7" s="156"/>
      <c r="I7" s="157"/>
      <c r="J7" s="158"/>
      <c r="K7" s="159"/>
      <c r="L7" s="160"/>
      <c r="M7" s="161"/>
      <c r="N7" s="162"/>
      <c r="O7" s="163"/>
      <c r="P7" s="164"/>
      <c r="Q7" s="165"/>
      <c r="R7" s="166"/>
      <c r="S7" s="167"/>
      <c r="T7" s="120">
        <f>SUM(G7:S7)</f>
        <v>0</v>
      </c>
      <c r="U7" s="244">
        <f>D7*T7</f>
        <v>0</v>
      </c>
      <c r="V7" s="120">
        <f>T7*1.23</f>
        <v>0</v>
      </c>
      <c r="W7" s="140">
        <f>F7*T7</f>
        <v>0</v>
      </c>
    </row>
    <row r="8" spans="2:23" ht="130.05000000000001" customHeight="1" x14ac:dyDescent="0.45">
      <c r="B8" s="132" t="s">
        <v>124</v>
      </c>
      <c r="C8" s="88"/>
      <c r="D8" s="134">
        <v>10</v>
      </c>
      <c r="E8" s="134" t="s">
        <v>129</v>
      </c>
      <c r="F8" s="135">
        <v>88</v>
      </c>
      <c r="G8" s="194"/>
      <c r="H8" s="195"/>
      <c r="I8" s="196"/>
      <c r="J8" s="197"/>
      <c r="K8" s="198"/>
      <c r="L8" s="199"/>
      <c r="M8" s="200"/>
      <c r="N8" s="201"/>
      <c r="O8" s="202"/>
      <c r="P8" s="203"/>
      <c r="Q8" s="204"/>
      <c r="R8" s="205"/>
      <c r="S8" s="206"/>
      <c r="T8" s="136">
        <f t="shared" ref="T8:T24" si="0">SUM(G8:S8)</f>
        <v>0</v>
      </c>
      <c r="U8" s="136">
        <f t="shared" ref="U8:U24" si="1">D8*T8</f>
        <v>0</v>
      </c>
      <c r="V8" s="136">
        <f>T8*1.1</f>
        <v>0</v>
      </c>
      <c r="W8" s="138">
        <f t="shared" ref="W8:W24" si="2">F8*T8</f>
        <v>0</v>
      </c>
    </row>
    <row r="9" spans="2:23" ht="130.05000000000001" customHeight="1" x14ac:dyDescent="0.45">
      <c r="B9" s="132" t="s">
        <v>172</v>
      </c>
      <c r="C9" s="88"/>
      <c r="D9" s="134">
        <v>5</v>
      </c>
      <c r="E9" s="134" t="s">
        <v>173</v>
      </c>
      <c r="F9" s="135">
        <v>100</v>
      </c>
      <c r="G9" s="194"/>
      <c r="H9" s="195"/>
      <c r="I9" s="196"/>
      <c r="J9" s="197"/>
      <c r="K9" s="198"/>
      <c r="L9" s="199"/>
      <c r="M9" s="200"/>
      <c r="N9" s="201"/>
      <c r="O9" s="202"/>
      <c r="P9" s="203"/>
      <c r="Q9" s="204"/>
      <c r="R9" s="205"/>
      <c r="S9" s="206"/>
      <c r="T9" s="136">
        <f>SUM(G9:S9)</f>
        <v>0</v>
      </c>
      <c r="U9" s="136">
        <f>D9*T9</f>
        <v>0</v>
      </c>
      <c r="V9" s="136">
        <f>T9*1.58</f>
        <v>0</v>
      </c>
      <c r="W9" s="138">
        <f>F9*T9</f>
        <v>0</v>
      </c>
    </row>
    <row r="10" spans="2:23" ht="130.05000000000001" customHeight="1" x14ac:dyDescent="0.45">
      <c r="B10" s="132" t="s">
        <v>63</v>
      </c>
      <c r="C10" s="88"/>
      <c r="D10" s="134">
        <v>10</v>
      </c>
      <c r="E10" s="134" t="s">
        <v>174</v>
      </c>
      <c r="F10" s="135">
        <v>106</v>
      </c>
      <c r="G10" s="194"/>
      <c r="H10" s="195"/>
      <c r="I10" s="196"/>
      <c r="J10" s="197"/>
      <c r="K10" s="198"/>
      <c r="L10" s="199"/>
      <c r="M10" s="200"/>
      <c r="N10" s="201"/>
      <c r="O10" s="202"/>
      <c r="P10" s="203"/>
      <c r="Q10" s="204"/>
      <c r="R10" s="205"/>
      <c r="S10" s="206"/>
      <c r="T10" s="136">
        <f>SUM(G10:S10)</f>
        <v>0</v>
      </c>
      <c r="U10" s="136">
        <f>D10*T10</f>
        <v>0</v>
      </c>
      <c r="V10" s="136">
        <f>T10*1.43</f>
        <v>0</v>
      </c>
      <c r="W10" s="138">
        <f>F10*T10</f>
        <v>0</v>
      </c>
    </row>
    <row r="11" spans="2:23" ht="130.05000000000001" customHeight="1" x14ac:dyDescent="0.45">
      <c r="B11" s="132" t="s">
        <v>145</v>
      </c>
      <c r="C11" s="88"/>
      <c r="D11" s="134">
        <v>10</v>
      </c>
      <c r="E11" s="134" t="s">
        <v>175</v>
      </c>
      <c r="F11" s="135">
        <v>149</v>
      </c>
      <c r="G11" s="194"/>
      <c r="H11" s="195"/>
      <c r="I11" s="196"/>
      <c r="J11" s="197"/>
      <c r="K11" s="198"/>
      <c r="L11" s="199"/>
      <c r="M11" s="200"/>
      <c r="N11" s="201"/>
      <c r="O11" s="202"/>
      <c r="P11" s="203"/>
      <c r="Q11" s="204"/>
      <c r="R11" s="205"/>
      <c r="S11" s="206"/>
      <c r="T11" s="136">
        <f>SUM(G11:S11)</f>
        <v>0</v>
      </c>
      <c r="U11" s="136">
        <f>D11*T11</f>
        <v>0</v>
      </c>
      <c r="V11" s="136">
        <f>T11*2.52</f>
        <v>0</v>
      </c>
      <c r="W11" s="138">
        <f>F11*T11</f>
        <v>0</v>
      </c>
    </row>
    <row r="12" spans="2:23" ht="130.05000000000001" customHeight="1" x14ac:dyDescent="0.45">
      <c r="B12" s="114" t="s">
        <v>125</v>
      </c>
      <c r="C12" s="89"/>
      <c r="D12" s="118">
        <v>10</v>
      </c>
      <c r="E12" s="118" t="s">
        <v>130</v>
      </c>
      <c r="F12" s="119">
        <v>110</v>
      </c>
      <c r="G12" s="155"/>
      <c r="H12" s="156"/>
      <c r="I12" s="157"/>
      <c r="J12" s="158"/>
      <c r="K12" s="159"/>
      <c r="L12" s="160"/>
      <c r="M12" s="161"/>
      <c r="N12" s="162"/>
      <c r="O12" s="163"/>
      <c r="P12" s="164"/>
      <c r="Q12" s="165"/>
      <c r="R12" s="166"/>
      <c r="S12" s="167"/>
      <c r="T12" s="120">
        <f t="shared" si="0"/>
        <v>0</v>
      </c>
      <c r="U12" s="120">
        <f t="shared" si="1"/>
        <v>0</v>
      </c>
      <c r="V12" s="120">
        <f>T12*1.5</f>
        <v>0</v>
      </c>
      <c r="W12" s="140">
        <f t="shared" si="2"/>
        <v>0</v>
      </c>
    </row>
    <row r="13" spans="2:23" ht="130.05000000000001" customHeight="1" x14ac:dyDescent="0.45">
      <c r="B13" s="114" t="s">
        <v>176</v>
      </c>
      <c r="C13" s="89"/>
      <c r="D13" s="118">
        <v>10</v>
      </c>
      <c r="E13" s="118" t="s">
        <v>177</v>
      </c>
      <c r="F13" s="119">
        <v>136</v>
      </c>
      <c r="G13" s="155"/>
      <c r="H13" s="156"/>
      <c r="I13" s="157"/>
      <c r="J13" s="158"/>
      <c r="K13" s="159"/>
      <c r="L13" s="160"/>
      <c r="M13" s="161"/>
      <c r="N13" s="162"/>
      <c r="O13" s="163"/>
      <c r="P13" s="164"/>
      <c r="Q13" s="165"/>
      <c r="R13" s="166"/>
      <c r="S13" s="167"/>
      <c r="T13" s="120">
        <f>SUM(G13:S13)</f>
        <v>0</v>
      </c>
      <c r="U13" s="120">
        <f>D13*T13</f>
        <v>0</v>
      </c>
      <c r="V13" s="120">
        <f>T13*1.98</f>
        <v>0</v>
      </c>
      <c r="W13" s="140">
        <f>F13*T13</f>
        <v>0</v>
      </c>
    </row>
    <row r="14" spans="2:23" ht="130.05000000000001" customHeight="1" x14ac:dyDescent="0.45">
      <c r="B14" s="114" t="s">
        <v>68</v>
      </c>
      <c r="C14" s="89"/>
      <c r="D14" s="118">
        <v>10</v>
      </c>
      <c r="E14" s="118" t="s">
        <v>178</v>
      </c>
      <c r="F14" s="119">
        <v>115</v>
      </c>
      <c r="G14" s="155"/>
      <c r="H14" s="156"/>
      <c r="I14" s="157"/>
      <c r="J14" s="158"/>
      <c r="K14" s="159"/>
      <c r="L14" s="160"/>
      <c r="M14" s="161"/>
      <c r="N14" s="162"/>
      <c r="O14" s="163"/>
      <c r="P14" s="164"/>
      <c r="Q14" s="165"/>
      <c r="R14" s="166"/>
      <c r="S14" s="167"/>
      <c r="T14" s="120">
        <f>SUM(G14:S14)</f>
        <v>0</v>
      </c>
      <c r="U14" s="120">
        <f>D14*T14</f>
        <v>0</v>
      </c>
      <c r="V14" s="120">
        <f>T14*1.58</f>
        <v>0</v>
      </c>
      <c r="W14" s="140">
        <f>F14*T14</f>
        <v>0</v>
      </c>
    </row>
    <row r="15" spans="2:23" ht="130.05000000000001" customHeight="1" x14ac:dyDescent="0.45">
      <c r="B15" s="114" t="s">
        <v>179</v>
      </c>
      <c r="C15" s="89"/>
      <c r="D15" s="118">
        <v>10</v>
      </c>
      <c r="E15" s="118" t="s">
        <v>180</v>
      </c>
      <c r="F15" s="119">
        <v>111</v>
      </c>
      <c r="G15" s="155"/>
      <c r="H15" s="156"/>
      <c r="I15" s="157"/>
      <c r="J15" s="158"/>
      <c r="K15" s="159"/>
      <c r="L15" s="160"/>
      <c r="M15" s="161"/>
      <c r="N15" s="162"/>
      <c r="O15" s="163"/>
      <c r="P15" s="164"/>
      <c r="Q15" s="165"/>
      <c r="R15" s="166"/>
      <c r="S15" s="167"/>
      <c r="T15" s="120">
        <f>SUM(G15:S15)</f>
        <v>0</v>
      </c>
      <c r="U15" s="120">
        <f>D15*T15</f>
        <v>0</v>
      </c>
      <c r="V15" s="120">
        <f>T15*1.52</f>
        <v>0</v>
      </c>
      <c r="W15" s="140">
        <f>F15*T15</f>
        <v>0</v>
      </c>
    </row>
    <row r="16" spans="2:23" ht="130.05000000000001" customHeight="1" x14ac:dyDescent="0.45">
      <c r="B16" s="114" t="s">
        <v>181</v>
      </c>
      <c r="C16" s="89"/>
      <c r="D16" s="118">
        <v>3</v>
      </c>
      <c r="E16" s="118" t="s">
        <v>182</v>
      </c>
      <c r="F16" s="119">
        <v>98</v>
      </c>
      <c r="G16" s="155"/>
      <c r="H16" s="156"/>
      <c r="I16" s="157"/>
      <c r="J16" s="158"/>
      <c r="K16" s="159"/>
      <c r="L16" s="160"/>
      <c r="M16" s="161"/>
      <c r="N16" s="162"/>
      <c r="O16" s="163"/>
      <c r="P16" s="164"/>
      <c r="Q16" s="165"/>
      <c r="R16" s="166"/>
      <c r="S16" s="167"/>
      <c r="T16" s="120">
        <f>SUM(G16:S16)</f>
        <v>0</v>
      </c>
      <c r="U16" s="120">
        <f>D16*T16</f>
        <v>0</v>
      </c>
      <c r="V16" s="120"/>
      <c r="W16" s="140">
        <f>F16*T16</f>
        <v>0</v>
      </c>
    </row>
    <row r="17" spans="2:23" ht="130.05000000000001" customHeight="1" x14ac:dyDescent="0.45">
      <c r="B17" s="114" t="s">
        <v>83</v>
      </c>
      <c r="C17" s="89"/>
      <c r="D17" s="118">
        <v>10</v>
      </c>
      <c r="E17" s="118" t="s">
        <v>131</v>
      </c>
      <c r="F17" s="119">
        <v>157</v>
      </c>
      <c r="G17" s="155"/>
      <c r="H17" s="156"/>
      <c r="I17" s="157"/>
      <c r="J17" s="158"/>
      <c r="K17" s="159"/>
      <c r="L17" s="160"/>
      <c r="M17" s="161"/>
      <c r="N17" s="162"/>
      <c r="O17" s="163"/>
      <c r="P17" s="164"/>
      <c r="Q17" s="165"/>
      <c r="R17" s="166"/>
      <c r="S17" s="167"/>
      <c r="T17" s="120">
        <f t="shared" si="0"/>
        <v>0</v>
      </c>
      <c r="U17" s="120">
        <f t="shared" si="1"/>
        <v>0</v>
      </c>
      <c r="V17" s="120">
        <f>T17*2.4</f>
        <v>0</v>
      </c>
      <c r="W17" s="140">
        <f t="shared" si="2"/>
        <v>0</v>
      </c>
    </row>
    <row r="18" spans="2:23" ht="130.05000000000001" customHeight="1" x14ac:dyDescent="0.45">
      <c r="B18" s="114" t="s">
        <v>183</v>
      </c>
      <c r="C18" s="89"/>
      <c r="D18" s="118">
        <v>10</v>
      </c>
      <c r="E18" s="118" t="s">
        <v>184</v>
      </c>
      <c r="F18" s="119">
        <v>208</v>
      </c>
      <c r="G18" s="155"/>
      <c r="H18" s="156"/>
      <c r="I18" s="157"/>
      <c r="J18" s="158"/>
      <c r="K18" s="159"/>
      <c r="L18" s="160"/>
      <c r="M18" s="161"/>
      <c r="N18" s="162"/>
      <c r="O18" s="163"/>
      <c r="P18" s="164"/>
      <c r="Q18" s="165"/>
      <c r="R18" s="166"/>
      <c r="S18" s="167"/>
      <c r="T18" s="120">
        <f>SUM(G18:S18)</f>
        <v>0</v>
      </c>
      <c r="U18" s="120">
        <f>D18*T18</f>
        <v>0</v>
      </c>
      <c r="V18" s="120">
        <f>T18*3.31</f>
        <v>0</v>
      </c>
      <c r="W18" s="140">
        <f>F18*T18</f>
        <v>0</v>
      </c>
    </row>
    <row r="19" spans="2:23" ht="130.05000000000001" customHeight="1" x14ac:dyDescent="0.45">
      <c r="B19" s="114" t="s">
        <v>185</v>
      </c>
      <c r="C19" s="89"/>
      <c r="D19" s="118">
        <v>5</v>
      </c>
      <c r="E19" s="118" t="s">
        <v>186</v>
      </c>
      <c r="F19" s="119">
        <v>120</v>
      </c>
      <c r="G19" s="155"/>
      <c r="H19" s="156"/>
      <c r="I19" s="157"/>
      <c r="J19" s="158"/>
      <c r="K19" s="159"/>
      <c r="L19" s="160"/>
      <c r="M19" s="161"/>
      <c r="N19" s="162"/>
      <c r="O19" s="163"/>
      <c r="P19" s="164"/>
      <c r="Q19" s="165"/>
      <c r="R19" s="166"/>
      <c r="S19" s="167"/>
      <c r="T19" s="120">
        <f>SUM(G19:S19)</f>
        <v>0</v>
      </c>
      <c r="U19" s="120">
        <f>+D19*T19</f>
        <v>0</v>
      </c>
      <c r="V19" s="120">
        <f>T19*1.96</f>
        <v>0</v>
      </c>
      <c r="W19" s="140">
        <f>F19*T19</f>
        <v>0</v>
      </c>
    </row>
    <row r="20" spans="2:23" ht="130.05000000000001" customHeight="1" x14ac:dyDescent="0.45">
      <c r="B20" s="114" t="s">
        <v>126</v>
      </c>
      <c r="C20" s="89"/>
      <c r="D20" s="118">
        <v>5</v>
      </c>
      <c r="E20" s="118" t="s">
        <v>132</v>
      </c>
      <c r="F20" s="119">
        <v>158</v>
      </c>
      <c r="G20" s="155"/>
      <c r="H20" s="156"/>
      <c r="I20" s="157"/>
      <c r="J20" s="158"/>
      <c r="K20" s="159"/>
      <c r="L20" s="160"/>
      <c r="M20" s="161"/>
      <c r="N20" s="162"/>
      <c r="O20" s="163"/>
      <c r="P20" s="164"/>
      <c r="Q20" s="165"/>
      <c r="R20" s="166"/>
      <c r="S20" s="167"/>
      <c r="T20" s="120">
        <f t="shared" si="0"/>
        <v>0</v>
      </c>
      <c r="U20" s="120">
        <f t="shared" si="1"/>
        <v>0</v>
      </c>
      <c r="V20" s="120">
        <f>T20*1.52</f>
        <v>0</v>
      </c>
      <c r="W20" s="140">
        <f t="shared" si="2"/>
        <v>0</v>
      </c>
    </row>
    <row r="21" spans="2:23" ht="130.05000000000001" customHeight="1" x14ac:dyDescent="0.45">
      <c r="B21" s="114" t="s">
        <v>146</v>
      </c>
      <c r="C21" s="89"/>
      <c r="D21" s="118">
        <v>5</v>
      </c>
      <c r="E21" s="118" t="s">
        <v>187</v>
      </c>
      <c r="F21" s="119">
        <v>160</v>
      </c>
      <c r="G21" s="155"/>
      <c r="H21" s="156"/>
      <c r="I21" s="157"/>
      <c r="J21" s="158"/>
      <c r="K21" s="159"/>
      <c r="L21" s="160"/>
      <c r="M21" s="161"/>
      <c r="N21" s="162"/>
      <c r="O21" s="163"/>
      <c r="P21" s="164"/>
      <c r="Q21" s="165"/>
      <c r="R21" s="166"/>
      <c r="S21" s="167"/>
      <c r="T21" s="120">
        <f>SUM(G21:S21)</f>
        <v>0</v>
      </c>
      <c r="U21" s="120">
        <f>D21*T21</f>
        <v>0</v>
      </c>
      <c r="V21" s="120"/>
      <c r="W21" s="140">
        <f>F21*T21</f>
        <v>0</v>
      </c>
    </row>
    <row r="22" spans="2:23" ht="130.05000000000001" customHeight="1" x14ac:dyDescent="0.45">
      <c r="B22" s="114" t="s">
        <v>127</v>
      </c>
      <c r="C22" s="89"/>
      <c r="D22" s="118">
        <v>3</v>
      </c>
      <c r="E22" s="118" t="s">
        <v>133</v>
      </c>
      <c r="F22" s="119">
        <v>135</v>
      </c>
      <c r="G22" s="155"/>
      <c r="H22" s="156"/>
      <c r="I22" s="157"/>
      <c r="J22" s="158"/>
      <c r="K22" s="159"/>
      <c r="L22" s="160"/>
      <c r="M22" s="161"/>
      <c r="N22" s="162"/>
      <c r="O22" s="163"/>
      <c r="P22" s="164"/>
      <c r="Q22" s="165"/>
      <c r="R22" s="166"/>
      <c r="S22" s="167"/>
      <c r="T22" s="120">
        <f t="shared" si="0"/>
        <v>0</v>
      </c>
      <c r="U22" s="120">
        <f t="shared" si="1"/>
        <v>0</v>
      </c>
      <c r="V22" s="120">
        <f>T22*1.55</f>
        <v>0</v>
      </c>
      <c r="W22" s="140">
        <f t="shared" si="2"/>
        <v>0</v>
      </c>
    </row>
    <row r="23" spans="2:23" ht="130.05000000000001" customHeight="1" x14ac:dyDescent="0.45">
      <c r="B23" s="115" t="s">
        <v>188</v>
      </c>
      <c r="C23" s="92"/>
      <c r="D23" s="124">
        <v>4</v>
      </c>
      <c r="E23" s="124" t="s">
        <v>189</v>
      </c>
      <c r="F23" s="125"/>
      <c r="G23" s="168"/>
      <c r="H23" s="169"/>
      <c r="I23" s="170"/>
      <c r="J23" s="171"/>
      <c r="K23" s="172"/>
      <c r="L23" s="173"/>
      <c r="M23" s="174"/>
      <c r="N23" s="175"/>
      <c r="O23" s="176"/>
      <c r="P23" s="177"/>
      <c r="Q23" s="178"/>
      <c r="R23" s="179"/>
      <c r="S23" s="180"/>
      <c r="T23" s="112">
        <f>SUM(G23:S23)</f>
        <v>0</v>
      </c>
      <c r="U23" s="112">
        <f>D23*T23</f>
        <v>0</v>
      </c>
      <c r="V23" s="112"/>
      <c r="W23" s="141">
        <f>F23*T23</f>
        <v>0</v>
      </c>
    </row>
    <row r="24" spans="2:23" ht="130.05000000000001" customHeight="1" x14ac:dyDescent="0.45">
      <c r="B24" s="115" t="s">
        <v>128</v>
      </c>
      <c r="C24" s="92"/>
      <c r="D24" s="124">
        <v>5</v>
      </c>
      <c r="E24" s="124" t="s">
        <v>134</v>
      </c>
      <c r="F24" s="125">
        <v>217</v>
      </c>
      <c r="G24" s="168"/>
      <c r="H24" s="169"/>
      <c r="I24" s="170"/>
      <c r="J24" s="171"/>
      <c r="K24" s="172"/>
      <c r="L24" s="173"/>
      <c r="M24" s="174"/>
      <c r="N24" s="175"/>
      <c r="O24" s="176"/>
      <c r="P24" s="177"/>
      <c r="Q24" s="178"/>
      <c r="R24" s="179"/>
      <c r="S24" s="180"/>
      <c r="T24" s="112">
        <f t="shared" si="0"/>
        <v>0</v>
      </c>
      <c r="U24" s="112">
        <f t="shared" si="1"/>
        <v>0</v>
      </c>
      <c r="V24" s="112">
        <f>T24*2.46</f>
        <v>0</v>
      </c>
      <c r="W24" s="141">
        <f t="shared" si="2"/>
        <v>0</v>
      </c>
    </row>
    <row r="25" spans="2:23" ht="130.05000000000001" customHeight="1" x14ac:dyDescent="0.45">
      <c r="B25" s="114" t="s">
        <v>190</v>
      </c>
      <c r="C25" s="89"/>
      <c r="D25" s="118">
        <v>5</v>
      </c>
      <c r="E25" s="118" t="s">
        <v>191</v>
      </c>
      <c r="F25" s="119">
        <v>100</v>
      </c>
      <c r="G25" s="155"/>
      <c r="H25" s="156"/>
      <c r="I25" s="157"/>
      <c r="J25" s="158"/>
      <c r="K25" s="159"/>
      <c r="L25" s="160"/>
      <c r="M25" s="161"/>
      <c r="N25" s="162"/>
      <c r="O25" s="163"/>
      <c r="P25" s="164"/>
      <c r="Q25" s="165"/>
      <c r="R25" s="166"/>
      <c r="S25" s="167"/>
      <c r="T25" s="120">
        <f>SUM(G25:S25)</f>
        <v>0</v>
      </c>
      <c r="U25" s="120">
        <f>D25*T25</f>
        <v>0</v>
      </c>
      <c r="V25" s="120">
        <f>T25*1.67</f>
        <v>0</v>
      </c>
      <c r="W25" s="140">
        <f>F25*T25</f>
        <v>0</v>
      </c>
    </row>
    <row r="26" spans="2:23" ht="130.05000000000001" customHeight="1" x14ac:dyDescent="0.45">
      <c r="B26" s="114" t="s">
        <v>41</v>
      </c>
      <c r="C26" s="89"/>
      <c r="D26" s="118">
        <v>5</v>
      </c>
      <c r="E26" s="118" t="s">
        <v>192</v>
      </c>
      <c r="F26" s="119">
        <v>150</v>
      </c>
      <c r="G26" s="155"/>
      <c r="H26" s="156"/>
      <c r="I26" s="157"/>
      <c r="J26" s="158"/>
      <c r="K26" s="159"/>
      <c r="L26" s="160"/>
      <c r="M26" s="161"/>
      <c r="N26" s="162"/>
      <c r="O26" s="163"/>
      <c r="P26" s="164"/>
      <c r="Q26" s="165"/>
      <c r="R26" s="166"/>
      <c r="S26" s="167"/>
      <c r="T26" s="120">
        <f>SUM(G26:S26)</f>
        <v>0</v>
      </c>
      <c r="U26" s="120">
        <f>D26*T26</f>
        <v>0</v>
      </c>
      <c r="V26" s="120">
        <f>T26*1.79</f>
        <v>0</v>
      </c>
      <c r="W26" s="140">
        <f>F26*T26</f>
        <v>0</v>
      </c>
    </row>
    <row r="27" spans="2:23" ht="130.05000000000001" customHeight="1" x14ac:dyDescent="0.45">
      <c r="B27" s="114" t="s">
        <v>40</v>
      </c>
      <c r="C27" s="89"/>
      <c r="D27" s="118">
        <v>5</v>
      </c>
      <c r="E27" s="118" t="s">
        <v>193</v>
      </c>
      <c r="F27" s="119">
        <v>150</v>
      </c>
      <c r="G27" s="155"/>
      <c r="H27" s="156"/>
      <c r="I27" s="157"/>
      <c r="J27" s="158"/>
      <c r="K27" s="159"/>
      <c r="L27" s="160"/>
      <c r="M27" s="161"/>
      <c r="N27" s="162"/>
      <c r="O27" s="163"/>
      <c r="P27" s="164"/>
      <c r="Q27" s="165"/>
      <c r="R27" s="166"/>
      <c r="S27" s="167"/>
      <c r="T27" s="120">
        <f>SUM(G27:S27)</f>
        <v>0</v>
      </c>
      <c r="U27" s="120">
        <f>D27*T27</f>
        <v>0</v>
      </c>
      <c r="V27" s="120">
        <f>T27*2.27</f>
        <v>0</v>
      </c>
      <c r="W27" s="140">
        <f>F27*T27</f>
        <v>0</v>
      </c>
    </row>
    <row r="28" spans="2:23" ht="130.05000000000001" customHeight="1" x14ac:dyDescent="0.45">
      <c r="B28" s="115" t="s">
        <v>194</v>
      </c>
      <c r="C28" s="92"/>
      <c r="D28" s="124">
        <v>5</v>
      </c>
      <c r="E28" s="124" t="s">
        <v>195</v>
      </c>
      <c r="F28" s="125">
        <v>200</v>
      </c>
      <c r="G28" s="168"/>
      <c r="H28" s="169"/>
      <c r="I28" s="170"/>
      <c r="J28" s="171"/>
      <c r="K28" s="172"/>
      <c r="L28" s="173"/>
      <c r="M28" s="174"/>
      <c r="N28" s="175"/>
      <c r="O28" s="176"/>
      <c r="P28" s="177"/>
      <c r="Q28" s="178"/>
      <c r="R28" s="179"/>
      <c r="S28" s="180"/>
      <c r="T28" s="112">
        <f>SUM(G28:S28)</f>
        <v>0</v>
      </c>
      <c r="U28" s="112">
        <f>D28*T28</f>
        <v>0</v>
      </c>
      <c r="V28" s="112">
        <f>T28*3.11</f>
        <v>0</v>
      </c>
      <c r="W28" s="141">
        <f>+F28*T28</f>
        <v>0</v>
      </c>
    </row>
    <row r="29" spans="2:23" s="23" customFormat="1" ht="130.05000000000001" customHeight="1" thickBot="1" x14ac:dyDescent="0.5">
      <c r="B29" s="99" t="s">
        <v>304</v>
      </c>
      <c r="C29" s="315"/>
      <c r="D29" s="105">
        <v>5</v>
      </c>
      <c r="E29" s="105" t="s">
        <v>305</v>
      </c>
      <c r="F29" s="106">
        <v>206</v>
      </c>
      <c r="G29" s="181"/>
      <c r="H29" s="182"/>
      <c r="I29" s="183"/>
      <c r="J29" s="184"/>
      <c r="K29" s="185"/>
      <c r="L29" s="186"/>
      <c r="M29" s="187"/>
      <c r="N29" s="188"/>
      <c r="O29" s="189"/>
      <c r="P29" s="190"/>
      <c r="Q29" s="191"/>
      <c r="R29" s="192"/>
      <c r="S29" s="193"/>
      <c r="T29" s="392">
        <f>SUM(G29:S29)</f>
        <v>0</v>
      </c>
      <c r="U29" s="392">
        <f>D29*T29</f>
        <v>0</v>
      </c>
      <c r="V29" s="392">
        <f>T29*3.52</f>
        <v>0</v>
      </c>
      <c r="W29" s="395">
        <f>+F29*T29</f>
        <v>0</v>
      </c>
    </row>
    <row r="30" spans="2:23" x14ac:dyDescent="0.45">
      <c r="B30" s="6"/>
      <c r="C30" s="6"/>
      <c r="D30" s="6"/>
      <c r="E30" s="6"/>
      <c r="F30" s="6"/>
      <c r="G30" s="394">
        <f t="shared" ref="G30:V30" si="3">SUM(G6:G28)</f>
        <v>0</v>
      </c>
      <c r="H30" s="394">
        <f t="shared" si="3"/>
        <v>0</v>
      </c>
      <c r="I30" s="394">
        <f t="shared" si="3"/>
        <v>0</v>
      </c>
      <c r="J30" s="394">
        <f t="shared" si="3"/>
        <v>0</v>
      </c>
      <c r="K30" s="394">
        <f t="shared" si="3"/>
        <v>0</v>
      </c>
      <c r="L30" s="394">
        <f t="shared" si="3"/>
        <v>0</v>
      </c>
      <c r="M30" s="394">
        <f t="shared" si="3"/>
        <v>0</v>
      </c>
      <c r="N30" s="394">
        <f t="shared" si="3"/>
        <v>0</v>
      </c>
      <c r="O30" s="394">
        <f t="shared" si="3"/>
        <v>0</v>
      </c>
      <c r="P30" s="394">
        <f t="shared" si="3"/>
        <v>0</v>
      </c>
      <c r="Q30" s="394">
        <f t="shared" si="3"/>
        <v>0</v>
      </c>
      <c r="R30" s="394">
        <f t="shared" si="3"/>
        <v>0</v>
      </c>
      <c r="S30" s="394">
        <f t="shared" si="3"/>
        <v>0</v>
      </c>
      <c r="T30" s="18">
        <f>SUM(T6:T29)</f>
        <v>0</v>
      </c>
      <c r="U30" s="18">
        <f>SUM(U6:U29)</f>
        <v>0</v>
      </c>
      <c r="V30" s="18">
        <f t="shared" si="3"/>
        <v>0</v>
      </c>
      <c r="W30" s="316">
        <f>SUM(W6:W29)</f>
        <v>0</v>
      </c>
    </row>
  </sheetData>
  <sheetProtection algorithmName="SHA-512" hashValue="h+12k262SYyd+fz/kSV5GE74L5ClIdN7ueN3lZMh6WDsG2c5Ov06Tuf7UlSLAPcEq/iKxYxD/2Ug9XwhwHC2yw==" saltValue="q+7dCKAghoNztCECFKebqQ==" spinCount="100000" sheet="1" selectLockedCells="1"/>
  <mergeCells count="1">
    <mergeCell ref="B2: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04B43-0AF5-49E5-97D5-5E9A5BDD92D9}">
  <sheetPr>
    <tabColor rgb="FFFF66FF"/>
  </sheetPr>
  <dimension ref="B2:V32"/>
  <sheetViews>
    <sheetView zoomScale="62" zoomScaleNormal="62" workbookViewId="0">
      <selection activeCell="D23" sqref="D23:F23"/>
    </sheetView>
  </sheetViews>
  <sheetFormatPr defaultRowHeight="14.25" x14ac:dyDescent="0.45"/>
  <cols>
    <col min="2" max="2" width="27.265625" customWidth="1"/>
    <col min="12" max="12" width="9.06640625" style="23"/>
    <col min="20" max="20" width="11.59765625" customWidth="1"/>
    <col min="22" max="22" width="27.6640625" customWidth="1"/>
  </cols>
  <sheetData>
    <row r="2" spans="2:22" s="23" customFormat="1" ht="14.65" thickBot="1" x14ac:dyDescent="0.5"/>
    <row r="3" spans="2:22" s="23" customFormat="1" ht="14.65" thickBot="1" x14ac:dyDescent="0.5">
      <c r="B3" s="427" t="s">
        <v>337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9"/>
    </row>
    <row r="4" spans="2:22" s="23" customFormat="1" ht="18.399999999999999" thickBot="1" x14ac:dyDescent="0.6">
      <c r="B4" s="430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</row>
    <row r="5" spans="2:22" ht="18.399999999999999" customHeight="1" thickBot="1" x14ac:dyDescent="0.6">
      <c r="B5" s="308" t="s">
        <v>0</v>
      </c>
      <c r="D5" s="218">
        <f>ECLIPSE!G20</f>
        <v>0</v>
      </c>
      <c r="E5" s="219">
        <f>ECLIPSE!H20</f>
        <v>0</v>
      </c>
      <c r="F5" s="220">
        <f>ECLIPSE!I20</f>
        <v>0</v>
      </c>
      <c r="G5" s="221">
        <f>ECLIPSE!J20</f>
        <v>0</v>
      </c>
      <c r="H5" s="222">
        <f>ECLIPSE!K20</f>
        <v>0</v>
      </c>
      <c r="I5" s="223">
        <f>ECLIPSE!L20</f>
        <v>0</v>
      </c>
      <c r="J5" s="224">
        <f>ECLIPSE!M20</f>
        <v>0</v>
      </c>
      <c r="K5" s="225">
        <f>ECLIPSE!N20</f>
        <v>0</v>
      </c>
      <c r="L5" s="226">
        <f>ECLIPSE!O20</f>
        <v>0</v>
      </c>
      <c r="M5" s="227">
        <f>ECLIPSE!P20</f>
        <v>0</v>
      </c>
      <c r="N5" s="228">
        <f>ECLIPSE!Q20</f>
        <v>0</v>
      </c>
      <c r="O5" s="229">
        <f>ECLIPSE!R20</f>
        <v>0</v>
      </c>
      <c r="P5" s="230">
        <f>ECLIPSE!S20</f>
        <v>0</v>
      </c>
      <c r="Q5" s="231">
        <f>ECLIPSE!T20</f>
        <v>0</v>
      </c>
      <c r="R5" s="231">
        <f>ECLIPSE!U20</f>
        <v>0</v>
      </c>
      <c r="S5" s="231">
        <f>ECLIPSE!V20</f>
        <v>0</v>
      </c>
      <c r="T5" s="232">
        <f>ECLIPSE!W20</f>
        <v>0</v>
      </c>
      <c r="V5" s="424" t="s">
        <v>323</v>
      </c>
    </row>
    <row r="6" spans="2:22" ht="14.65" customHeight="1" thickBot="1" x14ac:dyDescent="0.5">
      <c r="C6" s="26"/>
      <c r="D6" s="87"/>
      <c r="E6" s="87"/>
      <c r="F6" s="87"/>
      <c r="G6" s="233"/>
      <c r="H6" s="87"/>
      <c r="I6" s="87"/>
      <c r="J6" s="87"/>
      <c r="K6" s="87"/>
      <c r="L6" s="87"/>
      <c r="M6" s="87"/>
      <c r="N6" s="87"/>
      <c r="O6" s="87"/>
      <c r="P6" s="87"/>
      <c r="Q6" s="87"/>
      <c r="R6" s="234"/>
      <c r="S6" s="234"/>
      <c r="T6" s="235"/>
      <c r="V6" s="424"/>
    </row>
    <row r="7" spans="2:22" ht="18.399999999999999" thickBot="1" x14ac:dyDescent="0.6">
      <c r="B7" s="308" t="s">
        <v>18</v>
      </c>
      <c r="D7" s="218">
        <f>ECLIPSE!G35</f>
        <v>0</v>
      </c>
      <c r="E7" s="219">
        <f>ECLIPSE!H35</f>
        <v>0</v>
      </c>
      <c r="F7" s="220">
        <f>ECLIPSE!I35</f>
        <v>0</v>
      </c>
      <c r="G7" s="221">
        <f>ECLIPSE!J35</f>
        <v>0</v>
      </c>
      <c r="H7" s="222">
        <f>ECLIPSE!K35</f>
        <v>0</v>
      </c>
      <c r="I7" s="223">
        <f>ECLIPSE!L35</f>
        <v>0</v>
      </c>
      <c r="J7" s="224">
        <f>ECLIPSE!M35</f>
        <v>0</v>
      </c>
      <c r="K7" s="225">
        <f>ECLIPSE!N35</f>
        <v>0</v>
      </c>
      <c r="L7" s="226">
        <f>ECLIPSE!O35</f>
        <v>0</v>
      </c>
      <c r="M7" s="227">
        <f>ECLIPSE!P35</f>
        <v>0</v>
      </c>
      <c r="N7" s="228">
        <f>ECLIPSE!Q35</f>
        <v>0</v>
      </c>
      <c r="O7" s="229">
        <f>ECLIPSE!R35</f>
        <v>0</v>
      </c>
      <c r="P7" s="230">
        <f>ECLIPSE!S35</f>
        <v>0</v>
      </c>
      <c r="Q7" s="231">
        <f>ECLIPSE!T35</f>
        <v>0</v>
      </c>
      <c r="R7" s="231">
        <f>ECLIPSE!U35</f>
        <v>0</v>
      </c>
      <c r="S7" s="231">
        <f>ECLIPSE!V35</f>
        <v>0</v>
      </c>
      <c r="T7" s="232">
        <f>ECLIPSE!W35</f>
        <v>0</v>
      </c>
      <c r="V7" s="409" t="s">
        <v>324</v>
      </c>
    </row>
    <row r="8" spans="2:22" ht="14.65" thickBot="1" x14ac:dyDescent="0.5">
      <c r="C8" s="26"/>
      <c r="D8" s="87"/>
      <c r="E8" s="87"/>
      <c r="F8" s="87"/>
      <c r="G8" s="233"/>
      <c r="H8" s="87"/>
      <c r="I8" s="87"/>
      <c r="J8" s="87"/>
      <c r="K8" s="87"/>
      <c r="L8" s="87"/>
      <c r="M8" s="87"/>
      <c r="N8" s="87"/>
      <c r="O8" s="87"/>
      <c r="P8" s="87"/>
      <c r="Q8" s="87"/>
      <c r="R8" s="234"/>
      <c r="S8" s="234"/>
      <c r="T8" s="235"/>
      <c r="V8" s="410" t="s">
        <v>325</v>
      </c>
    </row>
    <row r="9" spans="2:22" ht="18.399999999999999" thickBot="1" x14ac:dyDescent="0.6">
      <c r="B9" s="309" t="s">
        <v>39</v>
      </c>
      <c r="D9" s="218">
        <f>DRIFTS!G28</f>
        <v>0</v>
      </c>
      <c r="E9" s="219">
        <f>DRIFTS!H28</f>
        <v>0</v>
      </c>
      <c r="F9" s="220">
        <f>DRIFTS!I28</f>
        <v>0</v>
      </c>
      <c r="G9" s="221">
        <f>DRIFTS!J28</f>
        <v>0</v>
      </c>
      <c r="H9" s="222">
        <f>DRIFTS!K28</f>
        <v>0</v>
      </c>
      <c r="I9" s="223">
        <f>DRIFTS!L28</f>
        <v>0</v>
      </c>
      <c r="J9" s="224">
        <f>DRIFTS!M28</f>
        <v>0</v>
      </c>
      <c r="K9" s="225">
        <f>DRIFTS!N28</f>
        <v>0</v>
      </c>
      <c r="L9" s="226">
        <f>DRIFTS!O28</f>
        <v>0</v>
      </c>
      <c r="M9" s="227">
        <f>DRIFTS!P28</f>
        <v>0</v>
      </c>
      <c r="N9" s="228">
        <f>DRIFTS!Q28</f>
        <v>0</v>
      </c>
      <c r="O9" s="229">
        <f>DRIFTS!R28</f>
        <v>0</v>
      </c>
      <c r="P9" s="230">
        <f>DRIFTS!S28</f>
        <v>0</v>
      </c>
      <c r="Q9" s="231">
        <f>DRIFTS!T28</f>
        <v>0</v>
      </c>
      <c r="R9" s="231">
        <f>DRIFTS!U28</f>
        <v>0</v>
      </c>
      <c r="S9" s="231">
        <f>DRIFTS!V28</f>
        <v>0</v>
      </c>
      <c r="T9" s="232">
        <f>DRIFTS!W28</f>
        <v>0</v>
      </c>
      <c r="V9" s="411" t="s">
        <v>326</v>
      </c>
    </row>
    <row r="10" spans="2:22" ht="14.65" thickBot="1" x14ac:dyDescent="0.5">
      <c r="C10" s="26"/>
      <c r="D10" s="87"/>
      <c r="E10" s="87"/>
      <c r="F10" s="87"/>
      <c r="G10" s="233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234"/>
      <c r="S10" s="234"/>
      <c r="T10" s="235"/>
      <c r="V10" s="412" t="s">
        <v>327</v>
      </c>
    </row>
    <row r="11" spans="2:22" ht="18.399999999999999" thickBot="1" x14ac:dyDescent="0.6">
      <c r="B11" s="310" t="s">
        <v>96</v>
      </c>
      <c r="D11" s="218">
        <f>LOAVES!G21</f>
        <v>0</v>
      </c>
      <c r="E11" s="219">
        <f>LOAVES!H21</f>
        <v>0</v>
      </c>
      <c r="F11" s="220">
        <f>LOAVES!I21</f>
        <v>0</v>
      </c>
      <c r="G11" s="221">
        <f>LOAVES!J21</f>
        <v>0</v>
      </c>
      <c r="H11" s="222">
        <f>LOAVES!K21</f>
        <v>0</v>
      </c>
      <c r="I11" s="223">
        <f>LOAVES!L21</f>
        <v>0</v>
      </c>
      <c r="J11" s="224">
        <f>LOAVES!M21</f>
        <v>0</v>
      </c>
      <c r="K11" s="225">
        <f>LOAVES!N21</f>
        <v>0</v>
      </c>
      <c r="L11" s="226">
        <f>LOAVES!O21</f>
        <v>0</v>
      </c>
      <c r="M11" s="227">
        <f>LOAVES!P21</f>
        <v>0</v>
      </c>
      <c r="N11" s="228">
        <f>LOAVES!Q21</f>
        <v>0</v>
      </c>
      <c r="O11" s="229">
        <f>LOAVES!R21</f>
        <v>0</v>
      </c>
      <c r="P11" s="230">
        <f>LOAVES!S21</f>
        <v>0</v>
      </c>
      <c r="Q11" s="231">
        <f>LOAVES!T21</f>
        <v>0</v>
      </c>
      <c r="R11" s="231">
        <f>LOAVES!U21</f>
        <v>0</v>
      </c>
      <c r="S11" s="231">
        <f>LOAVES!V21</f>
        <v>0</v>
      </c>
      <c r="T11" s="232">
        <f>LOAVES!W21</f>
        <v>0</v>
      </c>
      <c r="V11" s="413" t="s">
        <v>328</v>
      </c>
    </row>
    <row r="12" spans="2:22" ht="14.65" thickBot="1" x14ac:dyDescent="0.5">
      <c r="C12" s="26"/>
      <c r="D12" s="87"/>
      <c r="E12" s="87"/>
      <c r="F12" s="87"/>
      <c r="G12" s="233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234"/>
      <c r="S12" s="234"/>
      <c r="T12" s="235"/>
      <c r="V12" s="414" t="s">
        <v>329</v>
      </c>
    </row>
    <row r="13" spans="2:22" ht="18.399999999999999" thickBot="1" x14ac:dyDescent="0.6">
      <c r="B13" s="311" t="s">
        <v>123</v>
      </c>
      <c r="D13" s="218">
        <f>ROUGHLINE!G30</f>
        <v>0</v>
      </c>
      <c r="E13" s="219">
        <f>ROUGHLINE!H30</f>
        <v>0</v>
      </c>
      <c r="F13" s="220">
        <f>ROUGHLINE!I30</f>
        <v>0</v>
      </c>
      <c r="G13" s="221">
        <f>ROUGHLINE!J30</f>
        <v>0</v>
      </c>
      <c r="H13" s="222">
        <f>ROUGHLINE!K30</f>
        <v>0</v>
      </c>
      <c r="I13" s="223">
        <f>ROUGHLINE!L30</f>
        <v>0</v>
      </c>
      <c r="J13" s="224">
        <f>ROUGHLINE!M30</f>
        <v>0</v>
      </c>
      <c r="K13" s="225">
        <f>ROUGHLINE!N30</f>
        <v>0</v>
      </c>
      <c r="L13" s="226">
        <f>ROUGHLINE!O30</f>
        <v>0</v>
      </c>
      <c r="M13" s="227">
        <f>ROUGHLINE!P30</f>
        <v>0</v>
      </c>
      <c r="N13" s="228">
        <f>ROUGHLINE!Q30</f>
        <v>0</v>
      </c>
      <c r="O13" s="229">
        <f>ROUGHLINE!R30</f>
        <v>0</v>
      </c>
      <c r="P13" s="230">
        <f>ROUGHLINE!S30</f>
        <v>0</v>
      </c>
      <c r="Q13" s="231">
        <f>ROUGHLINE!T30</f>
        <v>0</v>
      </c>
      <c r="R13" s="231">
        <f>ROUGHLINE!U30</f>
        <v>0</v>
      </c>
      <c r="S13" s="231">
        <f>ROUGHLINE!V30</f>
        <v>0</v>
      </c>
      <c r="T13" s="232">
        <f>ROUGHLINE!W30</f>
        <v>0</v>
      </c>
      <c r="V13" s="415" t="s">
        <v>330</v>
      </c>
    </row>
    <row r="14" spans="2:22" ht="14.65" thickBot="1" x14ac:dyDescent="0.5">
      <c r="C14" s="26"/>
      <c r="D14" s="87"/>
      <c r="E14" s="87"/>
      <c r="F14" s="87"/>
      <c r="G14" s="233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234"/>
      <c r="S14" s="234"/>
      <c r="T14" s="235"/>
      <c r="V14" s="416" t="s">
        <v>331</v>
      </c>
    </row>
    <row r="15" spans="2:22" ht="18.399999999999999" thickBot="1" x14ac:dyDescent="0.6">
      <c r="B15" s="312" t="s">
        <v>199</v>
      </c>
      <c r="D15" s="218">
        <f>SMOOTHLINE!G17</f>
        <v>0</v>
      </c>
      <c r="E15" s="219">
        <f>SMOOTHLINE!H17</f>
        <v>0</v>
      </c>
      <c r="F15" s="220">
        <f>SMOOTHLINE!I17</f>
        <v>0</v>
      </c>
      <c r="G15" s="221">
        <f>SMOOTHLINE!J17</f>
        <v>0</v>
      </c>
      <c r="H15" s="222">
        <f>SMOOTHLINE!K17</f>
        <v>0</v>
      </c>
      <c r="I15" s="223">
        <f>SMOOTHLINE!L17</f>
        <v>0</v>
      </c>
      <c r="J15" s="224">
        <f>SMOOTHLINE!M17</f>
        <v>0</v>
      </c>
      <c r="K15" s="225">
        <f>SMOOTHLINE!N17</f>
        <v>0</v>
      </c>
      <c r="L15" s="226">
        <f>SMOOTHLINE!O17</f>
        <v>0</v>
      </c>
      <c r="M15" s="227">
        <f>SMOOTHLINE!P17</f>
        <v>0</v>
      </c>
      <c r="N15" s="228">
        <f>SMOOTHLINE!Q17</f>
        <v>0</v>
      </c>
      <c r="O15" s="229">
        <f>SMOOTHLINE!R17</f>
        <v>0</v>
      </c>
      <c r="P15" s="230">
        <f>SMOOTHLINE!S17</f>
        <v>0</v>
      </c>
      <c r="Q15" s="231">
        <f>SMOOTHLINE!T17</f>
        <v>0</v>
      </c>
      <c r="R15" s="231">
        <f>SMOOTHLINE!U17</f>
        <v>0</v>
      </c>
      <c r="S15" s="231">
        <f>SMOOTHLINE!V17</f>
        <v>0</v>
      </c>
      <c r="T15" s="232">
        <f>SMOOTHLINE!W17</f>
        <v>0</v>
      </c>
      <c r="V15" s="417" t="s">
        <v>332</v>
      </c>
    </row>
    <row r="16" spans="2:22" ht="14.65" thickBot="1" x14ac:dyDescent="0.5">
      <c r="C16" s="26"/>
      <c r="D16" s="87"/>
      <c r="E16" s="87"/>
      <c r="F16" s="87"/>
      <c r="G16" s="233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234"/>
      <c r="S16" s="234"/>
      <c r="T16" s="235"/>
      <c r="V16" s="418" t="s">
        <v>333</v>
      </c>
    </row>
    <row r="17" spans="2:22" ht="18.399999999999999" thickBot="1" x14ac:dyDescent="0.6">
      <c r="B17" s="312" t="s">
        <v>200</v>
      </c>
      <c r="D17" s="218">
        <f>SMOOTHLINE!G31</f>
        <v>0</v>
      </c>
      <c r="E17" s="219">
        <f>SMOOTHLINE!H31</f>
        <v>0</v>
      </c>
      <c r="F17" s="220">
        <f>SMOOTHLINE!I31</f>
        <v>0</v>
      </c>
      <c r="G17" s="221">
        <f>SMOOTHLINE!J31</f>
        <v>0</v>
      </c>
      <c r="H17" s="222">
        <f>SMOOTHLINE!K31</f>
        <v>0</v>
      </c>
      <c r="I17" s="223">
        <f>SMOOTHLINE!L31</f>
        <v>0</v>
      </c>
      <c r="J17" s="224">
        <f>SMOOTHLINE!M31</f>
        <v>0</v>
      </c>
      <c r="K17" s="225">
        <f>SMOOTHLINE!N31</f>
        <v>0</v>
      </c>
      <c r="L17" s="226">
        <f>SMOOTHLINE!O31</f>
        <v>0</v>
      </c>
      <c r="M17" s="227">
        <f>SMOOTHLINE!P31</f>
        <v>0</v>
      </c>
      <c r="N17" s="228">
        <f>SMOOTHLINE!Q31</f>
        <v>0</v>
      </c>
      <c r="O17" s="229">
        <f>SMOOTHLINE!R31</f>
        <v>0</v>
      </c>
      <c r="P17" s="230">
        <f>SMOOTHLINE!S31</f>
        <v>0</v>
      </c>
      <c r="Q17" s="231">
        <f>SMOOTHLINE!T31</f>
        <v>0</v>
      </c>
      <c r="R17" s="231">
        <f>SMOOTHLINE!U31</f>
        <v>0</v>
      </c>
      <c r="S17" s="231">
        <f>SMOOTHLINE!V31</f>
        <v>0</v>
      </c>
      <c r="T17" s="232">
        <f>SMOOTHLINE!W31</f>
        <v>0</v>
      </c>
      <c r="V17" s="419" t="s">
        <v>334</v>
      </c>
    </row>
    <row r="18" spans="2:22" s="23" customFormat="1" ht="18.399999999999999" thickBot="1" x14ac:dyDescent="0.6">
      <c r="B18" s="295"/>
      <c r="D18" s="294"/>
      <c r="E18" s="294"/>
      <c r="F18" s="294"/>
      <c r="G18" s="233"/>
      <c r="H18" s="294"/>
      <c r="I18" s="294"/>
      <c r="J18" s="294"/>
      <c r="K18" s="294"/>
      <c r="L18" s="294"/>
      <c r="M18" s="294"/>
      <c r="N18" s="294"/>
      <c r="O18" s="294"/>
      <c r="P18" s="294"/>
      <c r="Q18" s="296"/>
      <c r="R18" s="296"/>
      <c r="S18" s="296"/>
      <c r="T18" s="297"/>
      <c r="V18" s="420" t="s">
        <v>335</v>
      </c>
    </row>
    <row r="19" spans="2:22" s="23" customFormat="1" ht="18.399999999999999" thickBot="1" x14ac:dyDescent="0.6">
      <c r="B19" s="307" t="s">
        <v>285</v>
      </c>
      <c r="D19" s="218"/>
      <c r="E19" s="219"/>
      <c r="F19" s="220"/>
      <c r="G19" s="221"/>
      <c r="H19" s="222"/>
      <c r="I19" s="223"/>
      <c r="J19" s="224"/>
      <c r="K19" s="225"/>
      <c r="L19" s="226"/>
      <c r="M19" s="227"/>
      <c r="N19" s="228"/>
      <c r="O19" s="229"/>
      <c r="P19" s="298"/>
      <c r="Q19" s="299">
        <f>FIBERGLASS!R37</f>
        <v>0</v>
      </c>
      <c r="R19" s="299">
        <f>FIBERGLASS!S37</f>
        <v>0</v>
      </c>
      <c r="S19" s="299">
        <f>FIBERGLASS!T37</f>
        <v>0</v>
      </c>
      <c r="T19" s="300">
        <f>FIBERGLASS!U37</f>
        <v>0</v>
      </c>
      <c r="V19" s="421" t="s">
        <v>336</v>
      </c>
    </row>
    <row r="20" spans="2:22" ht="14.65" thickBot="1" x14ac:dyDescent="0.5">
      <c r="C20" s="26"/>
      <c r="D20" s="87"/>
      <c r="E20" s="87"/>
      <c r="F20" s="87"/>
      <c r="G20" s="233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234"/>
      <c r="S20" s="234"/>
      <c r="T20" s="235"/>
    </row>
    <row r="21" spans="2:22" ht="18.399999999999999" thickBot="1" x14ac:dyDescent="0.6">
      <c r="B21" s="44" t="s">
        <v>198</v>
      </c>
      <c r="D21" s="218">
        <f t="shared" ref="D21:P21" si="0">SUM(D5:D17)</f>
        <v>0</v>
      </c>
      <c r="E21" s="219">
        <f t="shared" si="0"/>
        <v>0</v>
      </c>
      <c r="F21" s="220">
        <f t="shared" si="0"/>
        <v>0</v>
      </c>
      <c r="G21" s="221">
        <f t="shared" si="0"/>
        <v>0</v>
      </c>
      <c r="H21" s="222">
        <f t="shared" si="0"/>
        <v>0</v>
      </c>
      <c r="I21" s="236">
        <f t="shared" si="0"/>
        <v>0</v>
      </c>
      <c r="J21" s="224">
        <f t="shared" si="0"/>
        <v>0</v>
      </c>
      <c r="K21" s="225">
        <f t="shared" si="0"/>
        <v>0</v>
      </c>
      <c r="L21" s="226">
        <f t="shared" si="0"/>
        <v>0</v>
      </c>
      <c r="M21" s="227">
        <f t="shared" si="0"/>
        <v>0</v>
      </c>
      <c r="N21" s="228">
        <f t="shared" si="0"/>
        <v>0</v>
      </c>
      <c r="O21" s="229">
        <f t="shared" si="0"/>
        <v>0</v>
      </c>
      <c r="P21" s="237">
        <f t="shared" si="0"/>
        <v>0</v>
      </c>
      <c r="Q21" s="234"/>
      <c r="R21" s="234"/>
      <c r="S21" s="234"/>
      <c r="T21" s="235"/>
    </row>
    <row r="22" spans="2:22" ht="14.65" thickBot="1" x14ac:dyDescent="0.5">
      <c r="G22" s="30"/>
    </row>
    <row r="23" spans="2:22" ht="14.65" thickBot="1" x14ac:dyDescent="0.5">
      <c r="B23" s="442" t="s">
        <v>208</v>
      </c>
      <c r="D23" s="449" t="s">
        <v>209</v>
      </c>
      <c r="E23" s="450"/>
      <c r="F23" s="451"/>
      <c r="G23" s="439"/>
      <c r="H23" s="440"/>
      <c r="I23" s="440"/>
      <c r="J23" s="440"/>
      <c r="K23" s="440"/>
      <c r="L23" s="440"/>
      <c r="M23" s="441"/>
      <c r="O23" s="432" t="s">
        <v>202</v>
      </c>
      <c r="P23" s="432"/>
      <c r="Q23" s="28">
        <f>SUM(Q5:Q19)</f>
        <v>0</v>
      </c>
    </row>
    <row r="24" spans="2:22" ht="14.65" thickBot="1" x14ac:dyDescent="0.5">
      <c r="B24" s="442"/>
      <c r="C24" s="23"/>
      <c r="D24" s="449" t="s">
        <v>210</v>
      </c>
      <c r="E24" s="450"/>
      <c r="F24" s="451"/>
      <c r="G24" s="439"/>
      <c r="H24" s="440"/>
      <c r="I24" s="440"/>
      <c r="J24" s="440"/>
      <c r="K24" s="440"/>
      <c r="L24" s="440"/>
      <c r="M24" s="441"/>
      <c r="N24" s="23"/>
      <c r="O24" s="433" t="s">
        <v>203</v>
      </c>
      <c r="P24" s="434"/>
      <c r="Q24" s="28"/>
      <c r="R24" s="28">
        <f>SUM(R5:R19)</f>
        <v>0</v>
      </c>
    </row>
    <row r="25" spans="2:22" ht="14.65" thickBot="1" x14ac:dyDescent="0.5">
      <c r="B25" s="23"/>
      <c r="C25" s="23"/>
      <c r="D25" s="215"/>
      <c r="E25" s="215"/>
      <c r="F25" s="215"/>
      <c r="G25" s="439"/>
      <c r="H25" s="440"/>
      <c r="I25" s="440"/>
      <c r="J25" s="440"/>
      <c r="K25" s="440"/>
      <c r="L25" s="440"/>
      <c r="M25" s="441"/>
      <c r="N25" s="23"/>
      <c r="O25" s="435" t="s">
        <v>204</v>
      </c>
      <c r="P25" s="436"/>
      <c r="Q25" s="28"/>
      <c r="R25" s="28"/>
      <c r="S25" s="28">
        <f>SUM(S5:S19)</f>
        <v>0</v>
      </c>
    </row>
    <row r="26" spans="2:22" ht="18.399999999999999" thickBot="1" x14ac:dyDescent="0.6">
      <c r="B26" s="23"/>
      <c r="C26" s="23"/>
      <c r="D26" s="215"/>
      <c r="E26" s="215"/>
      <c r="F26" s="215"/>
      <c r="G26" s="439"/>
      <c r="H26" s="440"/>
      <c r="I26" s="440"/>
      <c r="J26" s="440"/>
      <c r="K26" s="440"/>
      <c r="L26" s="440"/>
      <c r="M26" s="441"/>
      <c r="N26" s="23"/>
      <c r="O26" s="48" t="s">
        <v>205</v>
      </c>
      <c r="P26" s="49"/>
      <c r="Q26" s="50"/>
      <c r="R26" s="50"/>
      <c r="S26" s="425">
        <f>SUM(T5:T19)</f>
        <v>0</v>
      </c>
      <c r="T26" s="426"/>
    </row>
    <row r="27" spans="2:22" ht="18.399999999999999" thickBot="1" x14ac:dyDescent="0.6">
      <c r="B27" s="23"/>
      <c r="C27" s="23"/>
      <c r="D27" s="215"/>
      <c r="E27" s="215"/>
      <c r="F27" s="215"/>
      <c r="G27" s="439"/>
      <c r="H27" s="440"/>
      <c r="I27" s="440"/>
      <c r="J27" s="440"/>
      <c r="K27" s="440"/>
      <c r="L27" s="440"/>
      <c r="M27" s="441"/>
      <c r="N27" s="23"/>
      <c r="O27" s="51"/>
      <c r="P27" s="437" t="s">
        <v>206</v>
      </c>
      <c r="Q27" s="437"/>
      <c r="R27" s="50"/>
      <c r="S27" s="425">
        <f>S26*0.1</f>
        <v>0</v>
      </c>
      <c r="T27" s="426"/>
    </row>
    <row r="28" spans="2:22" ht="14.65" thickBot="1" x14ac:dyDescent="0.5">
      <c r="B28" s="23"/>
      <c r="C28" s="23"/>
      <c r="D28" s="449" t="s">
        <v>211</v>
      </c>
      <c r="E28" s="450"/>
      <c r="F28" s="451"/>
      <c r="G28" s="439"/>
      <c r="H28" s="440"/>
      <c r="I28" s="440"/>
      <c r="J28" s="440"/>
      <c r="K28" s="440"/>
      <c r="L28" s="440"/>
      <c r="M28" s="441"/>
      <c r="N28" s="23"/>
      <c r="O28" s="29"/>
      <c r="P28" s="29"/>
      <c r="Q28" s="29"/>
      <c r="R28" s="23"/>
    </row>
    <row r="29" spans="2:22" ht="18.399999999999999" thickBot="1" x14ac:dyDescent="0.6">
      <c r="B29" s="23"/>
      <c r="C29" s="23"/>
      <c r="D29" s="449" t="s">
        <v>212</v>
      </c>
      <c r="E29" s="450"/>
      <c r="F29" s="451"/>
      <c r="G29" s="446"/>
      <c r="H29" s="447"/>
      <c r="I29" s="447"/>
      <c r="J29" s="447"/>
      <c r="K29" s="447"/>
      <c r="L29" s="447"/>
      <c r="M29" s="448"/>
      <c r="N29" s="23"/>
      <c r="O29" s="438" t="s">
        <v>207</v>
      </c>
      <c r="P29" s="437"/>
      <c r="Q29" s="437"/>
      <c r="R29" s="50"/>
      <c r="S29" s="425">
        <f>S26+S27</f>
        <v>0</v>
      </c>
      <c r="T29" s="426"/>
    </row>
    <row r="30" spans="2:22" ht="14.65" thickBot="1" x14ac:dyDescent="0.5">
      <c r="D30" s="449" t="s">
        <v>213</v>
      </c>
      <c r="E30" s="450"/>
      <c r="F30" s="451"/>
      <c r="G30" s="439"/>
      <c r="H30" s="440"/>
      <c r="I30" s="440"/>
      <c r="J30" s="440"/>
      <c r="K30" s="440"/>
      <c r="L30" s="440"/>
      <c r="M30" s="441"/>
    </row>
    <row r="31" spans="2:22" ht="14.65" thickBot="1" x14ac:dyDescent="0.5">
      <c r="D31" s="449" t="s">
        <v>214</v>
      </c>
      <c r="E31" s="450"/>
      <c r="F31" s="451"/>
      <c r="G31" s="452"/>
      <c r="H31" s="453"/>
      <c r="I31" s="453"/>
      <c r="J31" s="453"/>
      <c r="K31" s="453"/>
      <c r="L31" s="453"/>
      <c r="M31" s="454"/>
    </row>
    <row r="32" spans="2:22" ht="14.65" thickBot="1" x14ac:dyDescent="0.5">
      <c r="D32" s="443" t="s">
        <v>215</v>
      </c>
      <c r="E32" s="444"/>
      <c r="F32" s="445"/>
      <c r="G32" s="443"/>
      <c r="H32" s="444"/>
      <c r="I32" s="444"/>
      <c r="J32" s="444"/>
      <c r="K32" s="444"/>
      <c r="L32" s="444"/>
      <c r="M32" s="445"/>
    </row>
  </sheetData>
  <sheetProtection algorithmName="SHA-512" hashValue="T7nHGnsw1LREZwC24j+vKVCZ6FAEhV6gxrTM40/KzaMYq+mGLelKrPlEW3626NxELwyYGD/5ivMgIrJpyySXGw==" saltValue="N+pDPjxkUt+QxX1ueGN4qw==" spinCount="100000" sheet="1" objects="1" scenarios="1" selectLockedCells="1"/>
  <mergeCells count="29">
    <mergeCell ref="D23:F23"/>
    <mergeCell ref="D24:F24"/>
    <mergeCell ref="D28:F28"/>
    <mergeCell ref="D29:F29"/>
    <mergeCell ref="D32:F32"/>
    <mergeCell ref="G32:M32"/>
    <mergeCell ref="G27:M27"/>
    <mergeCell ref="G28:M28"/>
    <mergeCell ref="G29:M29"/>
    <mergeCell ref="D30:F30"/>
    <mergeCell ref="D31:F31"/>
    <mergeCell ref="G30:M30"/>
    <mergeCell ref="G31:M31"/>
    <mergeCell ref="V5:V6"/>
    <mergeCell ref="S26:T26"/>
    <mergeCell ref="S27:T27"/>
    <mergeCell ref="S29:T29"/>
    <mergeCell ref="B3:V3"/>
    <mergeCell ref="B4:V4"/>
    <mergeCell ref="O23:P23"/>
    <mergeCell ref="O24:P24"/>
    <mergeCell ref="O25:P25"/>
    <mergeCell ref="P27:Q27"/>
    <mergeCell ref="O29:Q29"/>
    <mergeCell ref="G23:M23"/>
    <mergeCell ref="G24:M24"/>
    <mergeCell ref="G25:M25"/>
    <mergeCell ref="G26:M26"/>
    <mergeCell ref="B23:B24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BC74A-5310-47BE-B2E6-962FC039D405}">
  <sheetPr>
    <tabColor theme="9" tint="0.39997558519241921"/>
  </sheetPr>
  <dimension ref="B2:W31"/>
  <sheetViews>
    <sheetView topLeftCell="A16" zoomScale="78" zoomScaleNormal="78" workbookViewId="0">
      <selection activeCell="G29" sqref="G29"/>
    </sheetView>
  </sheetViews>
  <sheetFormatPr defaultRowHeight="14.25" x14ac:dyDescent="0.45"/>
  <cols>
    <col min="1" max="1" width="9.06640625" customWidth="1"/>
    <col min="2" max="2" width="13.33203125" customWidth="1"/>
    <col min="3" max="3" width="16.796875" style="23" customWidth="1"/>
    <col min="6" max="6" width="11.53125" customWidth="1"/>
    <col min="7" max="19" width="10.59765625" customWidth="1"/>
    <col min="23" max="23" width="11.796875" customWidth="1"/>
  </cols>
  <sheetData>
    <row r="2" spans="2:23" s="23" customFormat="1" x14ac:dyDescent="0.45">
      <c r="B2" s="455" t="s">
        <v>136</v>
      </c>
      <c r="C2" s="455"/>
      <c r="D2" s="455"/>
      <c r="E2" s="455"/>
      <c r="F2" s="455"/>
    </row>
    <row r="3" spans="2:23" s="23" customFormat="1" x14ac:dyDescent="0.45">
      <c r="B3" s="455"/>
      <c r="C3" s="455"/>
      <c r="D3" s="455"/>
      <c r="E3" s="455"/>
      <c r="F3" s="455"/>
    </row>
    <row r="4" spans="2:23" s="23" customFormat="1" x14ac:dyDescent="0.45"/>
    <row r="5" spans="2:23" ht="20" customHeight="1" thickBot="1" x14ac:dyDescent="0.9">
      <c r="B5" s="19"/>
      <c r="C5" s="19"/>
      <c r="D5" s="20"/>
      <c r="E5" s="20"/>
      <c r="F5" s="20"/>
      <c r="G5" s="396" t="s">
        <v>310</v>
      </c>
      <c r="H5" s="397" t="s">
        <v>311</v>
      </c>
      <c r="I5" s="398" t="s">
        <v>312</v>
      </c>
      <c r="J5" s="399" t="s">
        <v>313</v>
      </c>
      <c r="K5" s="400" t="s">
        <v>314</v>
      </c>
      <c r="L5" s="401" t="s">
        <v>315</v>
      </c>
      <c r="M5" s="402" t="s">
        <v>316</v>
      </c>
      <c r="N5" s="403" t="s">
        <v>317</v>
      </c>
      <c r="O5" s="404" t="s">
        <v>318</v>
      </c>
      <c r="P5" s="405" t="s">
        <v>319</v>
      </c>
      <c r="Q5" s="406" t="s">
        <v>320</v>
      </c>
      <c r="R5" s="407" t="s">
        <v>321</v>
      </c>
      <c r="S5" s="408" t="s">
        <v>322</v>
      </c>
      <c r="T5" s="9"/>
      <c r="U5" s="9"/>
      <c r="V5" s="9"/>
      <c r="W5" s="9"/>
    </row>
    <row r="6" spans="2:23" ht="14.25" customHeight="1" thickBot="1" x14ac:dyDescent="0.5">
      <c r="B6" s="68" t="s">
        <v>11</v>
      </c>
      <c r="C6" s="317"/>
      <c r="D6" s="69" t="s">
        <v>12</v>
      </c>
      <c r="E6" s="69" t="s">
        <v>13</v>
      </c>
      <c r="F6" s="69" t="s">
        <v>14</v>
      </c>
      <c r="G6" s="31">
        <v>2</v>
      </c>
      <c r="H6" s="32">
        <v>5</v>
      </c>
      <c r="I6" s="33">
        <v>7</v>
      </c>
      <c r="J6" s="34">
        <v>10</v>
      </c>
      <c r="K6" s="35">
        <v>11</v>
      </c>
      <c r="L6" s="43">
        <v>12</v>
      </c>
      <c r="M6" s="36">
        <v>13</v>
      </c>
      <c r="N6" s="37">
        <v>16</v>
      </c>
      <c r="O6" s="38">
        <v>69</v>
      </c>
      <c r="P6" s="39">
        <v>76</v>
      </c>
      <c r="Q6" s="40">
        <v>77</v>
      </c>
      <c r="R6" s="41">
        <v>79</v>
      </c>
      <c r="S6" s="42">
        <v>81</v>
      </c>
      <c r="T6" s="46" t="s">
        <v>60</v>
      </c>
      <c r="U6" s="46" t="s">
        <v>61</v>
      </c>
      <c r="V6" s="46" t="s">
        <v>59</v>
      </c>
      <c r="W6" s="46" t="s">
        <v>201</v>
      </c>
    </row>
    <row r="7" spans="2:23" ht="100.05" customHeight="1" x14ac:dyDescent="0.45">
      <c r="B7" s="238" t="s">
        <v>97</v>
      </c>
      <c r="C7" s="239"/>
      <c r="D7" s="240">
        <v>10</v>
      </c>
      <c r="E7" s="240" t="s">
        <v>150</v>
      </c>
      <c r="F7" s="322">
        <v>136</v>
      </c>
      <c r="G7" s="332"/>
      <c r="H7" s="333"/>
      <c r="I7" s="334"/>
      <c r="J7" s="335"/>
      <c r="K7" s="336"/>
      <c r="L7" s="337"/>
      <c r="M7" s="338"/>
      <c r="N7" s="339"/>
      <c r="O7" s="340"/>
      <c r="P7" s="341"/>
      <c r="Q7" s="342"/>
      <c r="R7" s="343"/>
      <c r="S7" s="344"/>
      <c r="T7" s="242">
        <f>SUM(G7:S7)</f>
        <v>0</v>
      </c>
      <c r="U7" s="242">
        <f>D7*T7</f>
        <v>0</v>
      </c>
      <c r="V7" s="242">
        <f>T7*1.98</f>
        <v>0</v>
      </c>
      <c r="W7" s="345">
        <f>F7*T7</f>
        <v>0</v>
      </c>
    </row>
    <row r="8" spans="2:23" ht="100.05" customHeight="1" x14ac:dyDescent="0.45">
      <c r="B8" s="114" t="s">
        <v>99</v>
      </c>
      <c r="C8" s="89"/>
      <c r="D8" s="118">
        <v>10</v>
      </c>
      <c r="E8" s="118" t="s">
        <v>151</v>
      </c>
      <c r="F8" s="323">
        <v>181</v>
      </c>
      <c r="G8" s="346"/>
      <c r="H8" s="347"/>
      <c r="I8" s="348"/>
      <c r="J8" s="349"/>
      <c r="K8" s="350"/>
      <c r="L8" s="351"/>
      <c r="M8" s="352"/>
      <c r="N8" s="353"/>
      <c r="O8" s="354"/>
      <c r="P8" s="355"/>
      <c r="Q8" s="356"/>
      <c r="R8" s="244"/>
      <c r="S8" s="357"/>
      <c r="T8" s="120">
        <f>SUM(G8:S8)</f>
        <v>0</v>
      </c>
      <c r="U8" s="120">
        <f>D8*T8</f>
        <v>0</v>
      </c>
      <c r="V8" s="120">
        <f>T8*2.82</f>
        <v>0</v>
      </c>
      <c r="W8" s="358">
        <f>F8*T8</f>
        <v>0</v>
      </c>
    </row>
    <row r="9" spans="2:23" ht="100.05" customHeight="1" x14ac:dyDescent="0.45">
      <c r="B9" s="114" t="s">
        <v>100</v>
      </c>
      <c r="C9" s="89"/>
      <c r="D9" s="118">
        <v>10</v>
      </c>
      <c r="E9" s="118" t="s">
        <v>152</v>
      </c>
      <c r="F9" s="323">
        <v>322</v>
      </c>
      <c r="G9" s="346"/>
      <c r="H9" s="347"/>
      <c r="I9" s="348"/>
      <c r="J9" s="349"/>
      <c r="K9" s="350"/>
      <c r="L9" s="351"/>
      <c r="M9" s="352"/>
      <c r="N9" s="353"/>
      <c r="O9" s="354"/>
      <c r="P9" s="355"/>
      <c r="Q9" s="356"/>
      <c r="R9" s="244"/>
      <c r="S9" s="357"/>
      <c r="T9" s="120">
        <f>SUM(G9:S9)</f>
        <v>0</v>
      </c>
      <c r="U9" s="120">
        <f>D9*T9</f>
        <v>0</v>
      </c>
      <c r="V9" s="120">
        <f>T9*5.41</f>
        <v>0</v>
      </c>
      <c r="W9" s="358">
        <f>F9*T9</f>
        <v>0</v>
      </c>
    </row>
    <row r="10" spans="2:23" x14ac:dyDescent="0.45">
      <c r="B10" s="98" t="s">
        <v>143</v>
      </c>
      <c r="C10" s="91"/>
      <c r="D10" s="104">
        <v>5</v>
      </c>
      <c r="E10" s="104" t="s">
        <v>153</v>
      </c>
      <c r="F10" s="324"/>
      <c r="G10" s="346"/>
      <c r="H10" s="347"/>
      <c r="I10" s="348"/>
      <c r="J10" s="349"/>
      <c r="K10" s="350"/>
      <c r="L10" s="351"/>
      <c r="M10" s="352"/>
      <c r="N10" s="353"/>
      <c r="O10" s="354"/>
      <c r="P10" s="355"/>
      <c r="Q10" s="356"/>
      <c r="R10" s="244"/>
      <c r="S10" s="357"/>
      <c r="T10" s="111"/>
      <c r="U10" s="111"/>
      <c r="V10" s="111"/>
      <c r="W10" s="359"/>
    </row>
    <row r="11" spans="2:23" x14ac:dyDescent="0.45">
      <c r="B11" s="98" t="s">
        <v>144</v>
      </c>
      <c r="C11" s="91"/>
      <c r="D11" s="104">
        <v>10</v>
      </c>
      <c r="E11" s="104" t="s">
        <v>154</v>
      </c>
      <c r="F11" s="324"/>
      <c r="G11" s="346"/>
      <c r="H11" s="347"/>
      <c r="I11" s="348"/>
      <c r="J11" s="349"/>
      <c r="K11" s="350"/>
      <c r="L11" s="351"/>
      <c r="M11" s="352"/>
      <c r="N11" s="353"/>
      <c r="O11" s="354"/>
      <c r="P11" s="355"/>
      <c r="Q11" s="356"/>
      <c r="R11" s="244"/>
      <c r="S11" s="357"/>
      <c r="T11" s="111"/>
      <c r="U11" s="111"/>
      <c r="V11" s="111"/>
      <c r="W11" s="359"/>
    </row>
    <row r="12" spans="2:23" ht="100.05" customHeight="1" x14ac:dyDescent="0.45">
      <c r="B12" s="114" t="s">
        <v>138</v>
      </c>
      <c r="C12" s="89"/>
      <c r="D12" s="118">
        <v>3</v>
      </c>
      <c r="E12" s="118" t="s">
        <v>155</v>
      </c>
      <c r="F12" s="323">
        <v>154</v>
      </c>
      <c r="G12" s="346"/>
      <c r="H12" s="347"/>
      <c r="I12" s="348"/>
      <c r="J12" s="349"/>
      <c r="K12" s="350"/>
      <c r="L12" s="351"/>
      <c r="M12" s="352"/>
      <c r="N12" s="353"/>
      <c r="O12" s="354"/>
      <c r="P12" s="355"/>
      <c r="Q12" s="356"/>
      <c r="R12" s="244"/>
      <c r="S12" s="357"/>
      <c r="T12" s="120">
        <f>SUM(G12:S12)</f>
        <v>0</v>
      </c>
      <c r="U12" s="120">
        <f>T12*D12</f>
        <v>0</v>
      </c>
      <c r="V12" s="120">
        <f>T12*1.83</f>
        <v>0</v>
      </c>
      <c r="W12" s="358">
        <f>T12*F12</f>
        <v>0</v>
      </c>
    </row>
    <row r="13" spans="2:23" x14ac:dyDescent="0.45">
      <c r="B13" s="98" t="s">
        <v>139</v>
      </c>
      <c r="C13" s="91"/>
      <c r="D13" s="104">
        <v>5</v>
      </c>
      <c r="E13" s="104" t="s">
        <v>156</v>
      </c>
      <c r="F13" s="324"/>
      <c r="G13" s="346"/>
      <c r="H13" s="347"/>
      <c r="I13" s="348"/>
      <c r="J13" s="349"/>
      <c r="K13" s="350"/>
      <c r="L13" s="351"/>
      <c r="M13" s="352"/>
      <c r="N13" s="353"/>
      <c r="O13" s="354"/>
      <c r="P13" s="355"/>
      <c r="Q13" s="356"/>
      <c r="R13" s="244"/>
      <c r="S13" s="357"/>
      <c r="T13" s="111"/>
      <c r="U13" s="111"/>
      <c r="V13" s="111"/>
      <c r="W13" s="359"/>
    </row>
    <row r="14" spans="2:23" x14ac:dyDescent="0.45">
      <c r="B14" s="98" t="s">
        <v>140</v>
      </c>
      <c r="C14" s="91"/>
      <c r="D14" s="104">
        <v>1</v>
      </c>
      <c r="E14" s="104" t="s">
        <v>157</v>
      </c>
      <c r="F14" s="324"/>
      <c r="G14" s="346"/>
      <c r="H14" s="347"/>
      <c r="I14" s="348"/>
      <c r="J14" s="349"/>
      <c r="K14" s="350"/>
      <c r="L14" s="351"/>
      <c r="M14" s="352"/>
      <c r="N14" s="353"/>
      <c r="O14" s="354"/>
      <c r="P14" s="355"/>
      <c r="Q14" s="356"/>
      <c r="R14" s="244"/>
      <c r="S14" s="357"/>
      <c r="T14" s="111"/>
      <c r="U14" s="111"/>
      <c r="V14" s="111"/>
      <c r="W14" s="359"/>
    </row>
    <row r="15" spans="2:23" x14ac:dyDescent="0.45">
      <c r="B15" s="98" t="s">
        <v>141</v>
      </c>
      <c r="C15" s="91"/>
      <c r="D15" s="104">
        <v>1</v>
      </c>
      <c r="E15" s="104" t="s">
        <v>158</v>
      </c>
      <c r="F15" s="324"/>
      <c r="G15" s="346"/>
      <c r="H15" s="347"/>
      <c r="I15" s="348"/>
      <c r="J15" s="349"/>
      <c r="K15" s="350"/>
      <c r="L15" s="351"/>
      <c r="M15" s="352"/>
      <c r="N15" s="353"/>
      <c r="O15" s="354"/>
      <c r="P15" s="355"/>
      <c r="Q15" s="356"/>
      <c r="R15" s="244"/>
      <c r="S15" s="357"/>
      <c r="T15" s="111"/>
      <c r="U15" s="111"/>
      <c r="V15" s="111"/>
      <c r="W15" s="359"/>
    </row>
    <row r="16" spans="2:23" ht="14.65" thickBot="1" x14ac:dyDescent="0.5">
      <c r="B16" s="319" t="s">
        <v>142</v>
      </c>
      <c r="C16" s="318"/>
      <c r="D16" s="325">
        <v>1</v>
      </c>
      <c r="E16" s="325" t="s">
        <v>159</v>
      </c>
      <c r="F16" s="326"/>
      <c r="G16" s="360"/>
      <c r="H16" s="361"/>
      <c r="I16" s="362"/>
      <c r="J16" s="363"/>
      <c r="K16" s="364"/>
      <c r="L16" s="365"/>
      <c r="M16" s="366"/>
      <c r="N16" s="367"/>
      <c r="O16" s="368"/>
      <c r="P16" s="369"/>
      <c r="Q16" s="370"/>
      <c r="R16" s="371"/>
      <c r="S16" s="372"/>
      <c r="T16" s="373"/>
      <c r="U16" s="373"/>
      <c r="V16" s="373"/>
      <c r="W16" s="374"/>
    </row>
    <row r="17" spans="2:23" x14ac:dyDescent="0.45">
      <c r="B17" s="320"/>
      <c r="D17" s="320"/>
      <c r="E17" s="320"/>
      <c r="F17" s="320"/>
      <c r="G17" s="136">
        <f t="shared" ref="G17:W17" si="0">SUM(G7:G16)</f>
        <v>0</v>
      </c>
      <c r="H17" s="136">
        <f t="shared" si="0"/>
        <v>0</v>
      </c>
      <c r="I17" s="136">
        <f t="shared" si="0"/>
        <v>0</v>
      </c>
      <c r="J17" s="136">
        <f t="shared" si="0"/>
        <v>0</v>
      </c>
      <c r="K17" s="136">
        <f t="shared" si="0"/>
        <v>0</v>
      </c>
      <c r="L17" s="136">
        <f t="shared" si="0"/>
        <v>0</v>
      </c>
      <c r="M17" s="136">
        <f t="shared" si="0"/>
        <v>0</v>
      </c>
      <c r="N17" s="136">
        <f t="shared" si="0"/>
        <v>0</v>
      </c>
      <c r="O17" s="136">
        <f t="shared" si="0"/>
        <v>0</v>
      </c>
      <c r="P17" s="136">
        <f t="shared" si="0"/>
        <v>0</v>
      </c>
      <c r="Q17" s="136">
        <f t="shared" si="0"/>
        <v>0</v>
      </c>
      <c r="R17" s="136">
        <f t="shared" si="0"/>
        <v>0</v>
      </c>
      <c r="S17" s="136">
        <f t="shared" si="0"/>
        <v>0</v>
      </c>
      <c r="T17" s="136">
        <f t="shared" si="0"/>
        <v>0</v>
      </c>
      <c r="U17" s="136">
        <f t="shared" si="0"/>
        <v>0</v>
      </c>
      <c r="V17" s="136">
        <f t="shared" si="0"/>
        <v>0</v>
      </c>
      <c r="W17" s="136">
        <f t="shared" si="0"/>
        <v>0</v>
      </c>
    </row>
    <row r="18" spans="2:23" x14ac:dyDescent="0.45">
      <c r="B18" s="320"/>
      <c r="D18" s="320"/>
      <c r="E18" s="320"/>
      <c r="F18" s="320"/>
      <c r="G18" s="320"/>
      <c r="H18" s="320"/>
      <c r="I18" s="320"/>
      <c r="J18" s="375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</row>
    <row r="19" spans="2:23" x14ac:dyDescent="0.45">
      <c r="B19" s="321"/>
      <c r="C19" s="313"/>
      <c r="D19" s="456" t="s">
        <v>137</v>
      </c>
      <c r="E19" s="457"/>
      <c r="F19" s="327"/>
      <c r="G19" s="376"/>
      <c r="H19" s="376"/>
      <c r="I19" s="376"/>
      <c r="J19" s="377"/>
      <c r="K19" s="376"/>
      <c r="L19" s="376"/>
      <c r="M19" s="376"/>
      <c r="N19" s="376"/>
      <c r="O19" s="376"/>
      <c r="P19" s="376"/>
      <c r="Q19" s="376"/>
      <c r="R19" s="376"/>
      <c r="S19" s="376"/>
      <c r="T19" s="327"/>
      <c r="U19" s="327"/>
      <c r="V19" s="327"/>
      <c r="W19" s="327"/>
    </row>
    <row r="20" spans="2:23" ht="14.65" thickBot="1" x14ac:dyDescent="0.5">
      <c r="B20" s="321"/>
      <c r="C20" s="313"/>
      <c r="D20" s="328"/>
      <c r="E20" s="329"/>
      <c r="F20" s="327"/>
      <c r="G20" s="376"/>
      <c r="H20" s="376"/>
      <c r="I20" s="376"/>
      <c r="J20" s="377"/>
      <c r="K20" s="376"/>
      <c r="L20" s="376"/>
      <c r="M20" s="376"/>
      <c r="N20" s="376"/>
      <c r="O20" s="376"/>
      <c r="P20" s="376"/>
      <c r="Q20" s="376"/>
      <c r="R20" s="376"/>
      <c r="S20" s="376"/>
      <c r="T20" s="327"/>
      <c r="U20" s="327"/>
      <c r="V20" s="327"/>
      <c r="W20" s="327"/>
    </row>
    <row r="21" spans="2:23" ht="100.05" customHeight="1" x14ac:dyDescent="0.45">
      <c r="B21" s="238" t="s">
        <v>124</v>
      </c>
      <c r="C21" s="239"/>
      <c r="D21" s="240">
        <v>10</v>
      </c>
      <c r="E21" s="240" t="s">
        <v>160</v>
      </c>
      <c r="F21" s="322">
        <v>75</v>
      </c>
      <c r="G21" s="332"/>
      <c r="H21" s="333"/>
      <c r="I21" s="334"/>
      <c r="J21" s="335"/>
      <c r="K21" s="336"/>
      <c r="L21" s="337"/>
      <c r="M21" s="338"/>
      <c r="N21" s="339"/>
      <c r="O21" s="340"/>
      <c r="P21" s="341"/>
      <c r="Q21" s="342"/>
      <c r="R21" s="343"/>
      <c r="S21" s="344"/>
      <c r="T21" s="242">
        <f t="shared" ref="T21:T26" si="1">SUM(G21:S21)</f>
        <v>0</v>
      </c>
      <c r="U21" s="242">
        <f>D21*T21</f>
        <v>0</v>
      </c>
      <c r="V21" s="242">
        <f>T21*0.83</f>
        <v>0</v>
      </c>
      <c r="W21" s="345">
        <f>F21*T21</f>
        <v>0</v>
      </c>
    </row>
    <row r="22" spans="2:23" s="23" customFormat="1" ht="100.05" customHeight="1" x14ac:dyDescent="0.45">
      <c r="B22" s="132" t="s">
        <v>170</v>
      </c>
      <c r="C22" s="88"/>
      <c r="D22" s="134">
        <v>10</v>
      </c>
      <c r="E22" s="134" t="s">
        <v>303</v>
      </c>
      <c r="F22" s="330">
        <v>51</v>
      </c>
      <c r="G22" s="378"/>
      <c r="H22" s="379"/>
      <c r="I22" s="380"/>
      <c r="J22" s="381"/>
      <c r="K22" s="382"/>
      <c r="L22" s="383"/>
      <c r="M22" s="384"/>
      <c r="N22" s="385"/>
      <c r="O22" s="386"/>
      <c r="P22" s="387"/>
      <c r="Q22" s="388"/>
      <c r="R22" s="389"/>
      <c r="S22" s="390"/>
      <c r="T22" s="136">
        <f t="shared" si="1"/>
        <v>0</v>
      </c>
      <c r="U22" s="136">
        <f>T22*D22</f>
        <v>0</v>
      </c>
      <c r="V22" s="136">
        <f>T22*0.43</f>
        <v>0</v>
      </c>
      <c r="W22" s="391">
        <f>T22*F22</f>
        <v>0</v>
      </c>
    </row>
    <row r="23" spans="2:23" s="23" customFormat="1" ht="100.05" customHeight="1" x14ac:dyDescent="0.45">
      <c r="B23" s="132" t="s">
        <v>172</v>
      </c>
      <c r="C23" s="88"/>
      <c r="D23" s="134">
        <v>9</v>
      </c>
      <c r="E23" s="134" t="s">
        <v>338</v>
      </c>
      <c r="F23" s="330">
        <v>134</v>
      </c>
      <c r="G23" s="378"/>
      <c r="H23" s="379"/>
      <c r="I23" s="380"/>
      <c r="J23" s="381"/>
      <c r="K23" s="382"/>
      <c r="L23" s="383"/>
      <c r="M23" s="384"/>
      <c r="N23" s="385"/>
      <c r="O23" s="386"/>
      <c r="P23" s="387"/>
      <c r="Q23" s="388"/>
      <c r="R23" s="389"/>
      <c r="S23" s="390"/>
      <c r="T23" s="136">
        <f t="shared" si="1"/>
        <v>0</v>
      </c>
      <c r="U23" s="136">
        <f>T23*D23</f>
        <v>0</v>
      </c>
      <c r="V23" s="136">
        <f>T23*2.02</f>
        <v>0</v>
      </c>
      <c r="W23" s="391">
        <f>T23*F23</f>
        <v>0</v>
      </c>
    </row>
    <row r="24" spans="2:23" ht="100.05" customHeight="1" x14ac:dyDescent="0.45">
      <c r="B24" s="114" t="s">
        <v>145</v>
      </c>
      <c r="C24" s="89"/>
      <c r="D24" s="118">
        <v>5</v>
      </c>
      <c r="E24" s="118" t="s">
        <v>161</v>
      </c>
      <c r="F24" s="323">
        <v>136</v>
      </c>
      <c r="G24" s="346"/>
      <c r="H24" s="347"/>
      <c r="I24" s="348"/>
      <c r="J24" s="349"/>
      <c r="K24" s="350"/>
      <c r="L24" s="351"/>
      <c r="M24" s="352"/>
      <c r="N24" s="353"/>
      <c r="O24" s="354"/>
      <c r="P24" s="355"/>
      <c r="Q24" s="356"/>
      <c r="R24" s="244"/>
      <c r="S24" s="357"/>
      <c r="T24" s="120">
        <f t="shared" si="1"/>
        <v>0</v>
      </c>
      <c r="U24" s="120">
        <f>D24*T24</f>
        <v>0</v>
      </c>
      <c r="V24" s="120">
        <f>T24*2.29</f>
        <v>0</v>
      </c>
      <c r="W24" s="358">
        <f>T24*F24</f>
        <v>0</v>
      </c>
    </row>
    <row r="25" spans="2:23" ht="100.05" customHeight="1" x14ac:dyDescent="0.45">
      <c r="B25" s="114" t="s">
        <v>125</v>
      </c>
      <c r="C25" s="89"/>
      <c r="D25" s="118">
        <v>10</v>
      </c>
      <c r="E25" s="118" t="s">
        <v>162</v>
      </c>
      <c r="F25" s="323">
        <v>145</v>
      </c>
      <c r="G25" s="346"/>
      <c r="H25" s="347"/>
      <c r="I25" s="348"/>
      <c r="J25" s="349"/>
      <c r="K25" s="350"/>
      <c r="L25" s="351"/>
      <c r="M25" s="352"/>
      <c r="N25" s="353"/>
      <c r="O25" s="354"/>
      <c r="P25" s="355"/>
      <c r="Q25" s="356"/>
      <c r="R25" s="244"/>
      <c r="S25" s="357"/>
      <c r="T25" s="120">
        <f t="shared" si="1"/>
        <v>0</v>
      </c>
      <c r="U25" s="120">
        <f>T25*D25</f>
        <v>0</v>
      </c>
      <c r="V25" s="120">
        <f>T25*2.14</f>
        <v>0</v>
      </c>
      <c r="W25" s="358">
        <f>T25*F25</f>
        <v>0</v>
      </c>
    </row>
    <row r="26" spans="2:23" ht="100.05" customHeight="1" x14ac:dyDescent="0.45">
      <c r="B26" s="114" t="s">
        <v>83</v>
      </c>
      <c r="C26" s="89"/>
      <c r="D26" s="118">
        <v>5</v>
      </c>
      <c r="E26" s="118" t="s">
        <v>163</v>
      </c>
      <c r="F26" s="323">
        <v>135</v>
      </c>
      <c r="G26" s="346"/>
      <c r="H26" s="347"/>
      <c r="I26" s="348"/>
      <c r="J26" s="349"/>
      <c r="K26" s="350"/>
      <c r="L26" s="351"/>
      <c r="M26" s="352"/>
      <c r="N26" s="353"/>
      <c r="O26" s="354"/>
      <c r="P26" s="355"/>
      <c r="Q26" s="356"/>
      <c r="R26" s="244"/>
      <c r="S26" s="357"/>
      <c r="T26" s="120">
        <f t="shared" si="1"/>
        <v>0</v>
      </c>
      <c r="U26" s="120">
        <f>T26*D26</f>
        <v>0</v>
      </c>
      <c r="V26" s="120">
        <f>T26*2.24</f>
        <v>0</v>
      </c>
      <c r="W26" s="358">
        <f>T26*F26</f>
        <v>0</v>
      </c>
    </row>
    <row r="27" spans="2:23" x14ac:dyDescent="0.45">
      <c r="B27" s="98" t="s">
        <v>146</v>
      </c>
      <c r="C27" s="91"/>
      <c r="D27" s="104">
        <v>5</v>
      </c>
      <c r="E27" s="104" t="s">
        <v>164</v>
      </c>
      <c r="F27" s="324"/>
      <c r="G27" s="346"/>
      <c r="H27" s="347"/>
      <c r="I27" s="348"/>
      <c r="J27" s="349"/>
      <c r="K27" s="350"/>
      <c r="L27" s="351"/>
      <c r="M27" s="352"/>
      <c r="N27" s="353"/>
      <c r="O27" s="354"/>
      <c r="P27" s="355"/>
      <c r="Q27" s="356"/>
      <c r="R27" s="244"/>
      <c r="S27" s="357"/>
      <c r="T27" s="111"/>
      <c r="U27" s="111"/>
      <c r="V27" s="111"/>
      <c r="W27" s="359"/>
    </row>
    <row r="28" spans="2:23" x14ac:dyDescent="0.45">
      <c r="B28" s="98" t="s">
        <v>147</v>
      </c>
      <c r="C28" s="91"/>
      <c r="D28" s="104">
        <v>5</v>
      </c>
      <c r="E28" s="104" t="s">
        <v>165</v>
      </c>
      <c r="F28" s="324"/>
      <c r="G28" s="346"/>
      <c r="H28" s="347"/>
      <c r="I28" s="348"/>
      <c r="J28" s="349"/>
      <c r="K28" s="350"/>
      <c r="L28" s="351"/>
      <c r="M28" s="352"/>
      <c r="N28" s="353"/>
      <c r="O28" s="354"/>
      <c r="P28" s="355"/>
      <c r="Q28" s="356"/>
      <c r="R28" s="244"/>
      <c r="S28" s="357"/>
      <c r="T28" s="111"/>
      <c r="U28" s="111"/>
      <c r="V28" s="111"/>
      <c r="W28" s="359"/>
    </row>
    <row r="29" spans="2:23" ht="110" customHeight="1" x14ac:dyDescent="0.45">
      <c r="B29" s="114" t="s">
        <v>148</v>
      </c>
      <c r="C29" s="89"/>
      <c r="D29" s="118">
        <v>3</v>
      </c>
      <c r="E29" s="118" t="s">
        <v>166</v>
      </c>
      <c r="F29" s="323">
        <v>190</v>
      </c>
      <c r="G29" s="346"/>
      <c r="H29" s="347"/>
      <c r="I29" s="348"/>
      <c r="J29" s="349"/>
      <c r="K29" s="350"/>
      <c r="L29" s="351"/>
      <c r="M29" s="352"/>
      <c r="N29" s="353"/>
      <c r="O29" s="354"/>
      <c r="P29" s="355"/>
      <c r="Q29" s="356"/>
      <c r="R29" s="244"/>
      <c r="S29" s="357"/>
      <c r="T29" s="120">
        <f>SUM(G29:S29)</f>
        <v>0</v>
      </c>
      <c r="U29" s="120">
        <f>T29*D29</f>
        <v>0</v>
      </c>
      <c r="V29" s="120">
        <f>T29*2.4</f>
        <v>0</v>
      </c>
      <c r="W29" s="358">
        <f>T29*F29</f>
        <v>0</v>
      </c>
    </row>
    <row r="30" spans="2:23" ht="110" customHeight="1" thickBot="1" x14ac:dyDescent="0.5">
      <c r="B30" s="99" t="s">
        <v>149</v>
      </c>
      <c r="C30" s="90"/>
      <c r="D30" s="105">
        <v>3</v>
      </c>
      <c r="E30" s="105" t="s">
        <v>167</v>
      </c>
      <c r="F30" s="331">
        <v>287</v>
      </c>
      <c r="G30" s="360"/>
      <c r="H30" s="361"/>
      <c r="I30" s="362"/>
      <c r="J30" s="363"/>
      <c r="K30" s="364"/>
      <c r="L30" s="365"/>
      <c r="M30" s="366"/>
      <c r="N30" s="367"/>
      <c r="O30" s="368"/>
      <c r="P30" s="369"/>
      <c r="Q30" s="370"/>
      <c r="R30" s="371"/>
      <c r="S30" s="372"/>
      <c r="T30" s="392">
        <f>SUM(G30:S30)</f>
        <v>0</v>
      </c>
      <c r="U30" s="392">
        <f>T30*D30</f>
        <v>0</v>
      </c>
      <c r="V30" s="392">
        <f>T30*3.94</f>
        <v>0</v>
      </c>
      <c r="W30" s="393">
        <f>T30*F30</f>
        <v>0</v>
      </c>
    </row>
    <row r="31" spans="2:23" x14ac:dyDescent="0.45">
      <c r="G31" s="136">
        <f t="shared" ref="G31:W31" si="2">SUM(G21:G30)</f>
        <v>0</v>
      </c>
      <c r="H31" s="136">
        <f t="shared" si="2"/>
        <v>0</v>
      </c>
      <c r="I31" s="136">
        <f t="shared" si="2"/>
        <v>0</v>
      </c>
      <c r="J31" s="136">
        <f t="shared" si="2"/>
        <v>0</v>
      </c>
      <c r="K31" s="136">
        <f t="shared" si="2"/>
        <v>0</v>
      </c>
      <c r="L31" s="136">
        <f>SUM(L21:L30)</f>
        <v>0</v>
      </c>
      <c r="M31" s="136">
        <f t="shared" si="2"/>
        <v>0</v>
      </c>
      <c r="N31" s="136">
        <f t="shared" si="2"/>
        <v>0</v>
      </c>
      <c r="O31" s="136">
        <f t="shared" si="2"/>
        <v>0</v>
      </c>
      <c r="P31" s="136">
        <f t="shared" si="2"/>
        <v>0</v>
      </c>
      <c r="Q31" s="136">
        <f t="shared" si="2"/>
        <v>0</v>
      </c>
      <c r="R31" s="136">
        <f t="shared" si="2"/>
        <v>0</v>
      </c>
      <c r="S31" s="136">
        <f t="shared" si="2"/>
        <v>0</v>
      </c>
      <c r="T31" s="136">
        <f t="shared" si="2"/>
        <v>0</v>
      </c>
      <c r="U31" s="136">
        <f t="shared" si="2"/>
        <v>0</v>
      </c>
      <c r="V31" s="136">
        <f t="shared" si="2"/>
        <v>0</v>
      </c>
      <c r="W31" s="136">
        <f t="shared" si="2"/>
        <v>0</v>
      </c>
    </row>
  </sheetData>
  <sheetProtection algorithmName="SHA-512" hashValue="UowuLiorOn5DwfDytaJO7XSRFMhPNQpIV+o4K7rw64Uss8wLJsSB5eARAD9MWhot4KngZUHhJc8JsY7dFGlVgg==" saltValue="bwujwEh7QdbOUshWPbq64Q==" spinCount="100000" sheet="1" objects="1" scenarios="1" selectLockedCells="1"/>
  <mergeCells count="2">
    <mergeCell ref="B2:F3"/>
    <mergeCell ref="D19:E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FA547-ACAC-40E3-B623-C426FC393E48}">
  <sheetPr>
    <tabColor rgb="FFFF0000"/>
  </sheetPr>
  <dimension ref="B1:W35"/>
  <sheetViews>
    <sheetView topLeftCell="A13" zoomScale="62" zoomScaleNormal="62" workbookViewId="0">
      <selection activeCell="K5" sqref="K5"/>
    </sheetView>
  </sheetViews>
  <sheetFormatPr defaultRowHeight="14.25" x14ac:dyDescent="0.45"/>
  <cols>
    <col min="2" max="2" width="13.33203125" customWidth="1"/>
    <col min="3" max="3" width="19.9296875" style="23" customWidth="1"/>
    <col min="6" max="6" width="11.6640625" customWidth="1"/>
    <col min="7" max="19" width="10.59765625" customWidth="1"/>
    <col min="23" max="23" width="11.796875" customWidth="1"/>
  </cols>
  <sheetData>
    <row r="1" spans="2:23" x14ac:dyDescent="0.45"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2:23" ht="36.4" thickBot="1" x14ac:dyDescent="1.1000000000000001">
      <c r="B2" s="458" t="s">
        <v>0</v>
      </c>
      <c r="C2" s="458"/>
      <c r="D2" s="458"/>
      <c r="E2" s="6"/>
      <c r="F2" s="314"/>
      <c r="G2" s="396" t="s">
        <v>310</v>
      </c>
      <c r="H2" s="397" t="s">
        <v>311</v>
      </c>
      <c r="I2" s="398" t="s">
        <v>312</v>
      </c>
      <c r="J2" s="399" t="s">
        <v>313</v>
      </c>
      <c r="K2" s="400" t="s">
        <v>314</v>
      </c>
      <c r="L2" s="401" t="s">
        <v>315</v>
      </c>
      <c r="M2" s="402" t="s">
        <v>316</v>
      </c>
      <c r="N2" s="403" t="s">
        <v>317</v>
      </c>
      <c r="O2" s="404" t="s">
        <v>318</v>
      </c>
      <c r="P2" s="405" t="s">
        <v>319</v>
      </c>
      <c r="Q2" s="406" t="s">
        <v>320</v>
      </c>
      <c r="R2" s="407" t="s">
        <v>321</v>
      </c>
      <c r="S2" s="408" t="s">
        <v>322</v>
      </c>
      <c r="T2" s="6"/>
      <c r="U2" s="6"/>
      <c r="V2" s="6"/>
      <c r="W2" s="6"/>
    </row>
    <row r="3" spans="2:23" ht="14.65" thickBot="1" x14ac:dyDescent="0.5">
      <c r="B3" s="212" t="s">
        <v>11</v>
      </c>
      <c r="C3" s="213" t="s">
        <v>217</v>
      </c>
      <c r="D3" s="214" t="s">
        <v>12</v>
      </c>
      <c r="E3" s="214" t="s">
        <v>13</v>
      </c>
      <c r="F3" s="214" t="s">
        <v>14</v>
      </c>
      <c r="G3" s="70">
        <v>2</v>
      </c>
      <c r="H3" s="71">
        <v>5</v>
      </c>
      <c r="I3" s="72">
        <v>7</v>
      </c>
      <c r="J3" s="73">
        <v>10</v>
      </c>
      <c r="K3" s="74">
        <v>11</v>
      </c>
      <c r="L3" s="75">
        <v>12</v>
      </c>
      <c r="M3" s="76">
        <v>13</v>
      </c>
      <c r="N3" s="77">
        <v>16</v>
      </c>
      <c r="O3" s="78">
        <v>69</v>
      </c>
      <c r="P3" s="79">
        <v>76</v>
      </c>
      <c r="Q3" s="80">
        <v>77</v>
      </c>
      <c r="R3" s="81">
        <v>79</v>
      </c>
      <c r="S3" s="82">
        <v>81</v>
      </c>
      <c r="T3" s="83" t="s">
        <v>60</v>
      </c>
      <c r="U3" s="83" t="s">
        <v>61</v>
      </c>
      <c r="V3" s="84" t="s">
        <v>59</v>
      </c>
      <c r="W3" s="85" t="s">
        <v>15</v>
      </c>
    </row>
    <row r="4" spans="2:23" ht="14.65" thickBot="1" x14ac:dyDescent="0.5">
      <c r="B4" s="216"/>
      <c r="C4" s="216"/>
      <c r="D4" s="216"/>
      <c r="E4" s="216"/>
      <c r="F4" s="216"/>
      <c r="G4" s="1"/>
      <c r="H4" s="1"/>
      <c r="I4" s="1"/>
      <c r="J4" s="67"/>
      <c r="K4" s="1"/>
      <c r="L4" s="1"/>
      <c r="M4" s="1"/>
      <c r="N4" s="1"/>
      <c r="O4" s="1"/>
      <c r="P4" s="1"/>
      <c r="Q4" s="1"/>
      <c r="R4" s="1"/>
      <c r="S4" s="66"/>
      <c r="T4" s="66"/>
      <c r="U4" s="66"/>
      <c r="V4" s="66"/>
      <c r="W4" s="66"/>
    </row>
    <row r="5" spans="2:23" ht="120" customHeight="1" x14ac:dyDescent="0.45">
      <c r="B5" s="96" t="s">
        <v>1</v>
      </c>
      <c r="C5" s="93"/>
      <c r="D5" s="100">
        <v>6</v>
      </c>
      <c r="E5" s="100" t="s">
        <v>6</v>
      </c>
      <c r="F5" s="101">
        <v>127</v>
      </c>
      <c r="G5" s="142"/>
      <c r="H5" s="143"/>
      <c r="I5" s="144"/>
      <c r="J5" s="145"/>
      <c r="K5" s="146"/>
      <c r="L5" s="147"/>
      <c r="M5" s="148"/>
      <c r="N5" s="149"/>
      <c r="O5" s="150"/>
      <c r="P5" s="151"/>
      <c r="Q5" s="152"/>
      <c r="R5" s="153"/>
      <c r="S5" s="154"/>
      <c r="T5" s="107">
        <f>SUM(G5:S5)</f>
        <v>0</v>
      </c>
      <c r="U5" s="107">
        <f t="shared" ref="U5:U19" si="0">(G5+H5+I5+J5+K5+L5+M5+N5+O5+P5+Q5+R5+S5)*D5</f>
        <v>0</v>
      </c>
      <c r="V5" s="117">
        <f>T5*2.1</f>
        <v>0</v>
      </c>
      <c r="W5" s="108">
        <f t="shared" ref="W5:W19" si="1">T5*F5</f>
        <v>0</v>
      </c>
    </row>
    <row r="6" spans="2:23" ht="120" customHeight="1" x14ac:dyDescent="0.45">
      <c r="B6" s="114" t="s">
        <v>135</v>
      </c>
      <c r="C6" s="89"/>
      <c r="D6" s="118">
        <v>6</v>
      </c>
      <c r="E6" s="118" t="s">
        <v>89</v>
      </c>
      <c r="F6" s="119">
        <v>127</v>
      </c>
      <c r="G6" s="155"/>
      <c r="H6" s="156"/>
      <c r="I6" s="157"/>
      <c r="J6" s="158"/>
      <c r="K6" s="159"/>
      <c r="L6" s="160"/>
      <c r="M6" s="161"/>
      <c r="N6" s="162"/>
      <c r="O6" s="163"/>
      <c r="P6" s="164"/>
      <c r="Q6" s="165"/>
      <c r="R6" s="166"/>
      <c r="S6" s="167"/>
      <c r="T6" s="120">
        <f>SUM(G6:S6)</f>
        <v>0</v>
      </c>
      <c r="U6" s="120">
        <v>0</v>
      </c>
      <c r="V6" s="121">
        <f>T6*1.6</f>
        <v>0</v>
      </c>
      <c r="W6" s="122">
        <f>F6*T6</f>
        <v>0</v>
      </c>
    </row>
    <row r="7" spans="2:23" ht="120" customHeight="1" x14ac:dyDescent="0.45">
      <c r="B7" s="97" t="s">
        <v>2</v>
      </c>
      <c r="C7" s="94"/>
      <c r="D7" s="102">
        <v>6</v>
      </c>
      <c r="E7" s="102" t="s">
        <v>7</v>
      </c>
      <c r="F7" s="103">
        <v>215</v>
      </c>
      <c r="G7" s="155"/>
      <c r="H7" s="156"/>
      <c r="I7" s="157"/>
      <c r="J7" s="158"/>
      <c r="K7" s="159"/>
      <c r="L7" s="160"/>
      <c r="M7" s="161"/>
      <c r="N7" s="162"/>
      <c r="O7" s="163"/>
      <c r="P7" s="164"/>
      <c r="Q7" s="165"/>
      <c r="R7" s="166"/>
      <c r="S7" s="167"/>
      <c r="T7" s="109">
        <f t="shared" ref="T7:T19" si="2">G7+H7+I7+J7+K7+L7+M7+N7+O7+P7+Q7+R7+S7</f>
        <v>0</v>
      </c>
      <c r="U7" s="109">
        <f t="shared" si="0"/>
        <v>0</v>
      </c>
      <c r="V7" s="123">
        <f>T7*2.2</f>
        <v>0</v>
      </c>
      <c r="W7" s="110">
        <f t="shared" si="1"/>
        <v>0</v>
      </c>
    </row>
    <row r="8" spans="2:23" ht="120" customHeight="1" x14ac:dyDescent="0.45">
      <c r="B8" s="97" t="s">
        <v>3</v>
      </c>
      <c r="C8" s="94"/>
      <c r="D8" s="102">
        <v>6</v>
      </c>
      <c r="E8" s="102" t="s">
        <v>8</v>
      </c>
      <c r="F8" s="103">
        <v>327</v>
      </c>
      <c r="G8" s="155"/>
      <c r="H8" s="156"/>
      <c r="I8" s="157"/>
      <c r="J8" s="158"/>
      <c r="K8" s="159"/>
      <c r="L8" s="160"/>
      <c r="M8" s="161"/>
      <c r="N8" s="162"/>
      <c r="O8" s="163"/>
      <c r="P8" s="164"/>
      <c r="Q8" s="165"/>
      <c r="R8" s="166"/>
      <c r="S8" s="167"/>
      <c r="T8" s="109">
        <f t="shared" si="2"/>
        <v>0</v>
      </c>
      <c r="U8" s="109">
        <f t="shared" si="0"/>
        <v>0</v>
      </c>
      <c r="V8" s="123">
        <f>T8*4</f>
        <v>0</v>
      </c>
      <c r="W8" s="110">
        <f t="shared" si="1"/>
        <v>0</v>
      </c>
    </row>
    <row r="9" spans="2:23" ht="120" customHeight="1" x14ac:dyDescent="0.45">
      <c r="B9" s="97" t="s">
        <v>4</v>
      </c>
      <c r="C9" s="94"/>
      <c r="D9" s="102">
        <v>6</v>
      </c>
      <c r="E9" s="102" t="s">
        <v>9</v>
      </c>
      <c r="F9" s="103">
        <v>442</v>
      </c>
      <c r="G9" s="155"/>
      <c r="H9" s="156"/>
      <c r="I9" s="157"/>
      <c r="J9" s="158"/>
      <c r="K9" s="159"/>
      <c r="L9" s="160"/>
      <c r="M9" s="161"/>
      <c r="N9" s="162"/>
      <c r="O9" s="163"/>
      <c r="P9" s="164"/>
      <c r="Q9" s="165"/>
      <c r="R9" s="166"/>
      <c r="S9" s="167"/>
      <c r="T9" s="109">
        <f t="shared" si="2"/>
        <v>0</v>
      </c>
      <c r="U9" s="109">
        <f t="shared" si="0"/>
        <v>0</v>
      </c>
      <c r="V9" s="123">
        <f>T9*5.85</f>
        <v>0</v>
      </c>
      <c r="W9" s="110">
        <f t="shared" si="1"/>
        <v>0</v>
      </c>
    </row>
    <row r="10" spans="2:23" ht="120" customHeight="1" x14ac:dyDescent="0.45">
      <c r="B10" s="97" t="s">
        <v>5</v>
      </c>
      <c r="C10" s="94"/>
      <c r="D10" s="102">
        <v>6</v>
      </c>
      <c r="E10" s="102" t="s">
        <v>10</v>
      </c>
      <c r="F10" s="103">
        <v>590</v>
      </c>
      <c r="G10" s="155"/>
      <c r="H10" s="156"/>
      <c r="I10" s="157"/>
      <c r="J10" s="158"/>
      <c r="K10" s="159"/>
      <c r="L10" s="160"/>
      <c r="M10" s="161"/>
      <c r="N10" s="162"/>
      <c r="O10" s="163"/>
      <c r="P10" s="164"/>
      <c r="Q10" s="165"/>
      <c r="R10" s="166"/>
      <c r="S10" s="167"/>
      <c r="T10" s="109">
        <f t="shared" si="2"/>
        <v>0</v>
      </c>
      <c r="U10" s="109">
        <f t="shared" si="0"/>
        <v>0</v>
      </c>
      <c r="V10" s="123">
        <f>T10*10.2</f>
        <v>0</v>
      </c>
      <c r="W10" s="110">
        <f t="shared" si="1"/>
        <v>0</v>
      </c>
    </row>
    <row r="11" spans="2:23" s="23" customFormat="1" ht="120" customHeight="1" x14ac:dyDescent="0.45">
      <c r="B11" s="97" t="s">
        <v>295</v>
      </c>
      <c r="C11" s="94"/>
      <c r="D11" s="102">
        <v>6</v>
      </c>
      <c r="E11" s="102" t="s">
        <v>299</v>
      </c>
      <c r="F11" s="103">
        <v>145</v>
      </c>
      <c r="G11" s="155"/>
      <c r="H11" s="156"/>
      <c r="I11" s="157"/>
      <c r="J11" s="158"/>
      <c r="K11" s="159"/>
      <c r="L11" s="160"/>
      <c r="M11" s="161"/>
      <c r="N11" s="162"/>
      <c r="O11" s="163"/>
      <c r="P11" s="164"/>
      <c r="Q11" s="165"/>
      <c r="R11" s="166"/>
      <c r="S11" s="167"/>
      <c r="T11" s="109">
        <f>SUM(G11:S11)</f>
        <v>0</v>
      </c>
      <c r="U11" s="109">
        <f t="shared" si="0"/>
        <v>0</v>
      </c>
      <c r="V11" s="123">
        <f>T11*2.34</f>
        <v>0</v>
      </c>
      <c r="W11" s="110">
        <f t="shared" si="1"/>
        <v>0</v>
      </c>
    </row>
    <row r="12" spans="2:23" s="23" customFormat="1" ht="120" customHeight="1" x14ac:dyDescent="0.45">
      <c r="B12" s="97" t="s">
        <v>296</v>
      </c>
      <c r="C12" s="94"/>
      <c r="D12" s="102">
        <v>6</v>
      </c>
      <c r="E12" s="102" t="s">
        <v>300</v>
      </c>
      <c r="F12" s="103">
        <v>255</v>
      </c>
      <c r="G12" s="155"/>
      <c r="H12" s="156"/>
      <c r="I12" s="157"/>
      <c r="J12" s="158"/>
      <c r="K12" s="159"/>
      <c r="L12" s="160"/>
      <c r="M12" s="161"/>
      <c r="N12" s="162"/>
      <c r="O12" s="163"/>
      <c r="P12" s="164"/>
      <c r="Q12" s="165"/>
      <c r="R12" s="166"/>
      <c r="S12" s="167"/>
      <c r="T12" s="109">
        <f>SUM(G12:S12)</f>
        <v>0</v>
      </c>
      <c r="U12" s="109">
        <f t="shared" si="0"/>
        <v>0</v>
      </c>
      <c r="V12" s="123">
        <f>T12*2.82</f>
        <v>0</v>
      </c>
      <c r="W12" s="110">
        <f t="shared" si="1"/>
        <v>0</v>
      </c>
    </row>
    <row r="13" spans="2:23" s="23" customFormat="1" ht="120" customHeight="1" x14ac:dyDescent="0.45">
      <c r="B13" s="97" t="s">
        <v>297</v>
      </c>
      <c r="C13" s="94"/>
      <c r="D13" s="102">
        <v>6</v>
      </c>
      <c r="E13" s="102" t="s">
        <v>301</v>
      </c>
      <c r="F13" s="103">
        <v>382</v>
      </c>
      <c r="G13" s="155"/>
      <c r="H13" s="156"/>
      <c r="I13" s="157"/>
      <c r="J13" s="158"/>
      <c r="K13" s="159"/>
      <c r="L13" s="160"/>
      <c r="M13" s="161"/>
      <c r="N13" s="162"/>
      <c r="O13" s="163"/>
      <c r="P13" s="164"/>
      <c r="Q13" s="165"/>
      <c r="R13" s="166"/>
      <c r="S13" s="167"/>
      <c r="T13" s="109">
        <f>SUM(G13:S13)</f>
        <v>0</v>
      </c>
      <c r="U13" s="109">
        <f t="shared" si="0"/>
        <v>0</v>
      </c>
      <c r="V13" s="123">
        <f>T13*4.85</f>
        <v>0</v>
      </c>
      <c r="W13" s="110">
        <f>T13*F13</f>
        <v>0</v>
      </c>
    </row>
    <row r="14" spans="2:23" s="23" customFormat="1" ht="120" customHeight="1" x14ac:dyDescent="0.45">
      <c r="B14" s="97" t="s">
        <v>298</v>
      </c>
      <c r="C14" s="94"/>
      <c r="D14" s="102">
        <v>3</v>
      </c>
      <c r="E14" s="102" t="s">
        <v>302</v>
      </c>
      <c r="F14" s="103">
        <v>286</v>
      </c>
      <c r="G14" s="155"/>
      <c r="H14" s="156"/>
      <c r="I14" s="157"/>
      <c r="J14" s="158"/>
      <c r="K14" s="159"/>
      <c r="L14" s="160"/>
      <c r="M14" s="161"/>
      <c r="N14" s="162"/>
      <c r="O14" s="163"/>
      <c r="P14" s="164"/>
      <c r="Q14" s="165"/>
      <c r="R14" s="166"/>
      <c r="S14" s="167"/>
      <c r="T14" s="109">
        <f>SUM(G14:S14)</f>
        <v>0</v>
      </c>
      <c r="U14" s="109">
        <f t="shared" si="0"/>
        <v>0</v>
      </c>
      <c r="V14" s="123">
        <f>T14*3.95</f>
        <v>0</v>
      </c>
      <c r="W14" s="110">
        <f>T14*F14</f>
        <v>0</v>
      </c>
    </row>
    <row r="15" spans="2:23" ht="120" customHeight="1" x14ac:dyDescent="0.45">
      <c r="B15" s="114" t="s">
        <v>90</v>
      </c>
      <c r="C15" s="89"/>
      <c r="D15" s="118">
        <v>6</v>
      </c>
      <c r="E15" s="118" t="s">
        <v>91</v>
      </c>
      <c r="F15" s="119">
        <v>48</v>
      </c>
      <c r="G15" s="155"/>
      <c r="H15" s="156"/>
      <c r="I15" s="157"/>
      <c r="J15" s="158"/>
      <c r="K15" s="159"/>
      <c r="L15" s="160"/>
      <c r="M15" s="161"/>
      <c r="N15" s="162"/>
      <c r="O15" s="163"/>
      <c r="P15" s="164"/>
      <c r="Q15" s="165"/>
      <c r="R15" s="166"/>
      <c r="S15" s="167"/>
      <c r="T15" s="120">
        <f>SUM(G15:S15)</f>
        <v>0</v>
      </c>
      <c r="U15" s="120">
        <f t="shared" si="0"/>
        <v>0</v>
      </c>
      <c r="V15" s="121">
        <f>T15*0.6</f>
        <v>0</v>
      </c>
      <c r="W15" s="122">
        <f t="shared" si="1"/>
        <v>0</v>
      </c>
    </row>
    <row r="16" spans="2:23" ht="120" customHeight="1" x14ac:dyDescent="0.45">
      <c r="B16" s="97" t="s">
        <v>68</v>
      </c>
      <c r="C16" s="94"/>
      <c r="D16" s="102">
        <v>6</v>
      </c>
      <c r="E16" s="102" t="s">
        <v>16</v>
      </c>
      <c r="F16" s="103">
        <v>56</v>
      </c>
      <c r="G16" s="155"/>
      <c r="H16" s="156"/>
      <c r="I16" s="157"/>
      <c r="J16" s="158"/>
      <c r="K16" s="159"/>
      <c r="L16" s="160"/>
      <c r="M16" s="161"/>
      <c r="N16" s="162"/>
      <c r="O16" s="163"/>
      <c r="P16" s="164"/>
      <c r="Q16" s="165"/>
      <c r="R16" s="166"/>
      <c r="S16" s="167"/>
      <c r="T16" s="109">
        <f t="shared" si="2"/>
        <v>0</v>
      </c>
      <c r="U16" s="109">
        <f t="shared" si="0"/>
        <v>0</v>
      </c>
      <c r="V16" s="123">
        <f>T16*0.73</f>
        <v>0</v>
      </c>
      <c r="W16" s="110">
        <f t="shared" si="1"/>
        <v>0</v>
      </c>
    </row>
    <row r="17" spans="2:23" ht="120" customHeight="1" x14ac:dyDescent="0.45">
      <c r="B17" s="115" t="s">
        <v>92</v>
      </c>
      <c r="C17" s="92"/>
      <c r="D17" s="124">
        <v>6</v>
      </c>
      <c r="E17" s="124" t="s">
        <v>93</v>
      </c>
      <c r="F17" s="125">
        <v>28</v>
      </c>
      <c r="G17" s="168"/>
      <c r="H17" s="169"/>
      <c r="I17" s="170"/>
      <c r="J17" s="171"/>
      <c r="K17" s="172"/>
      <c r="L17" s="173"/>
      <c r="M17" s="174"/>
      <c r="N17" s="175"/>
      <c r="O17" s="176"/>
      <c r="P17" s="177"/>
      <c r="Q17" s="178"/>
      <c r="R17" s="179"/>
      <c r="S17" s="180"/>
      <c r="T17" s="112">
        <f>SUM(G17:S17)</f>
        <v>0</v>
      </c>
      <c r="U17" s="112">
        <f t="shared" si="0"/>
        <v>0</v>
      </c>
      <c r="V17" s="126">
        <f>T17*0.3</f>
        <v>0</v>
      </c>
      <c r="W17" s="113">
        <f>F17*T17</f>
        <v>0</v>
      </c>
    </row>
    <row r="18" spans="2:23" ht="120" customHeight="1" x14ac:dyDescent="0.45">
      <c r="B18" s="115" t="s">
        <v>94</v>
      </c>
      <c r="C18" s="92"/>
      <c r="D18" s="124">
        <v>6</v>
      </c>
      <c r="E18" s="124" t="s">
        <v>95</v>
      </c>
      <c r="F18" s="125">
        <v>23</v>
      </c>
      <c r="G18" s="168"/>
      <c r="H18" s="169"/>
      <c r="I18" s="170"/>
      <c r="J18" s="171"/>
      <c r="K18" s="172"/>
      <c r="L18" s="173"/>
      <c r="M18" s="174"/>
      <c r="N18" s="175"/>
      <c r="O18" s="176"/>
      <c r="P18" s="177"/>
      <c r="Q18" s="178"/>
      <c r="R18" s="179"/>
      <c r="S18" s="180"/>
      <c r="T18" s="112">
        <f>SUM(G18:S18)</f>
        <v>0</v>
      </c>
      <c r="U18" s="112">
        <f t="shared" si="0"/>
        <v>0</v>
      </c>
      <c r="V18" s="126">
        <f>T18*0.2</f>
        <v>0</v>
      </c>
      <c r="W18" s="113">
        <f>F18*T18</f>
        <v>0</v>
      </c>
    </row>
    <row r="19" spans="2:23" ht="120" customHeight="1" thickBot="1" x14ac:dyDescent="0.5">
      <c r="B19" s="116" t="s">
        <v>67</v>
      </c>
      <c r="C19" s="95"/>
      <c r="D19" s="127">
        <v>6</v>
      </c>
      <c r="E19" s="127" t="s">
        <v>17</v>
      </c>
      <c r="F19" s="128">
        <v>70</v>
      </c>
      <c r="G19" s="181"/>
      <c r="H19" s="182"/>
      <c r="I19" s="183"/>
      <c r="J19" s="184"/>
      <c r="K19" s="185"/>
      <c r="L19" s="186"/>
      <c r="M19" s="187"/>
      <c r="N19" s="188"/>
      <c r="O19" s="189"/>
      <c r="P19" s="190"/>
      <c r="Q19" s="191"/>
      <c r="R19" s="192"/>
      <c r="S19" s="193"/>
      <c r="T19" s="129">
        <f t="shared" si="2"/>
        <v>0</v>
      </c>
      <c r="U19" s="129">
        <f t="shared" si="0"/>
        <v>0</v>
      </c>
      <c r="V19" s="130">
        <f>T19*0.97</f>
        <v>0</v>
      </c>
      <c r="W19" s="131">
        <f t="shared" si="1"/>
        <v>0</v>
      </c>
    </row>
    <row r="20" spans="2:23" x14ac:dyDescent="0.45">
      <c r="B20" s="9"/>
      <c r="C20" s="9"/>
      <c r="D20" s="9"/>
      <c r="E20" s="9"/>
      <c r="F20" s="9"/>
      <c r="G20" s="17">
        <f t="shared" ref="G20:W20" si="3">SUM(G5:G19)</f>
        <v>0</v>
      </c>
      <c r="H20" s="17">
        <f t="shared" si="3"/>
        <v>0</v>
      </c>
      <c r="I20" s="17">
        <f t="shared" si="3"/>
        <v>0</v>
      </c>
      <c r="J20" s="64">
        <f t="shared" si="3"/>
        <v>0</v>
      </c>
      <c r="K20" s="17">
        <f t="shared" si="3"/>
        <v>0</v>
      </c>
      <c r="L20" s="17">
        <f t="shared" si="3"/>
        <v>0</v>
      </c>
      <c r="M20" s="17">
        <f t="shared" si="3"/>
        <v>0</v>
      </c>
      <c r="N20" s="17">
        <f t="shared" si="3"/>
        <v>0</v>
      </c>
      <c r="O20" s="17">
        <f t="shared" si="3"/>
        <v>0</v>
      </c>
      <c r="P20" s="17">
        <f t="shared" si="3"/>
        <v>0</v>
      </c>
      <c r="Q20" s="17">
        <f t="shared" si="3"/>
        <v>0</v>
      </c>
      <c r="R20" s="17">
        <f t="shared" si="3"/>
        <v>0</v>
      </c>
      <c r="S20" s="17">
        <f t="shared" si="3"/>
        <v>0</v>
      </c>
      <c r="T20" s="18">
        <f t="shared" si="3"/>
        <v>0</v>
      </c>
      <c r="U20" s="18">
        <f t="shared" si="3"/>
        <v>0</v>
      </c>
      <c r="V20" s="18">
        <f t="shared" si="3"/>
        <v>0</v>
      </c>
      <c r="W20" s="65">
        <f t="shared" si="3"/>
        <v>0</v>
      </c>
    </row>
    <row r="21" spans="2:23" x14ac:dyDescent="0.45">
      <c r="B21" s="217"/>
      <c r="C21" s="217"/>
      <c r="D21" s="217"/>
      <c r="E21" s="217"/>
      <c r="F21" s="217"/>
    </row>
    <row r="22" spans="2:23" x14ac:dyDescent="0.45">
      <c r="B22" s="217"/>
      <c r="C22" s="217"/>
      <c r="D22" s="217"/>
      <c r="E22" s="217"/>
      <c r="F22" s="217"/>
    </row>
    <row r="23" spans="2:23" ht="25.5" x14ac:dyDescent="0.75">
      <c r="B23" s="459" t="s">
        <v>18</v>
      </c>
      <c r="C23" s="459"/>
      <c r="D23" s="459"/>
      <c r="E23" s="9"/>
      <c r="F23" s="9"/>
      <c r="G23" s="7"/>
      <c r="H23" s="7"/>
      <c r="I23" s="7"/>
      <c r="J23" s="8"/>
      <c r="K23" s="7"/>
      <c r="L23" s="7"/>
      <c r="M23" s="7"/>
      <c r="N23" s="7"/>
      <c r="O23" s="7"/>
      <c r="P23" s="7"/>
      <c r="Q23" s="7"/>
      <c r="R23" s="7"/>
      <c r="S23" s="7"/>
      <c r="T23" s="9"/>
      <c r="U23" s="9"/>
      <c r="V23" s="9"/>
      <c r="W23" s="9"/>
    </row>
    <row r="24" spans="2:23" ht="14.65" thickBot="1" x14ac:dyDescent="0.5">
      <c r="B24" s="9"/>
      <c r="C24" s="9"/>
      <c r="D24" s="9"/>
      <c r="E24" s="9"/>
      <c r="F24" s="9"/>
      <c r="G24" s="7"/>
      <c r="H24" s="7"/>
      <c r="I24" s="7"/>
      <c r="J24" s="8"/>
      <c r="K24" s="7"/>
      <c r="L24" s="7"/>
      <c r="M24" s="7"/>
      <c r="N24" s="7"/>
      <c r="O24" s="7"/>
      <c r="P24" s="7"/>
      <c r="Q24" s="7"/>
      <c r="R24" s="7"/>
      <c r="S24" s="7"/>
      <c r="T24" s="9"/>
      <c r="U24" s="9"/>
      <c r="V24" s="9"/>
      <c r="W24" s="9"/>
    </row>
    <row r="25" spans="2:23" ht="110" customHeight="1" x14ac:dyDescent="0.45">
      <c r="B25" s="96" t="s">
        <v>19</v>
      </c>
      <c r="C25" s="93"/>
      <c r="D25" s="100">
        <v>6</v>
      </c>
      <c r="E25" s="100" t="s">
        <v>29</v>
      </c>
      <c r="F25" s="101">
        <v>46</v>
      </c>
      <c r="G25" s="142"/>
      <c r="H25" s="143"/>
      <c r="I25" s="144"/>
      <c r="J25" s="145"/>
      <c r="K25" s="146"/>
      <c r="L25" s="147"/>
      <c r="M25" s="148"/>
      <c r="N25" s="149"/>
      <c r="O25" s="150"/>
      <c r="P25" s="151"/>
      <c r="Q25" s="152"/>
      <c r="R25" s="153"/>
      <c r="S25" s="154"/>
      <c r="T25" s="107">
        <f t="shared" ref="T25:T34" si="4">G25+H25+I25+J25+K25+L25+M25+N25+O25+P25+Q25+R25+S25</f>
        <v>0</v>
      </c>
      <c r="U25" s="107">
        <f t="shared" ref="U25:U34" si="5">T25*D25</f>
        <v>0</v>
      </c>
      <c r="V25" s="107">
        <f>T25*0.55</f>
        <v>0</v>
      </c>
      <c r="W25" s="108">
        <f t="shared" ref="W25:W34" si="6">T25*F25</f>
        <v>0</v>
      </c>
    </row>
    <row r="26" spans="2:23" ht="110" customHeight="1" x14ac:dyDescent="0.45">
      <c r="B26" s="97" t="s">
        <v>20</v>
      </c>
      <c r="C26" s="94"/>
      <c r="D26" s="102">
        <v>6</v>
      </c>
      <c r="E26" s="102" t="s">
        <v>30</v>
      </c>
      <c r="F26" s="103">
        <v>37</v>
      </c>
      <c r="G26" s="155"/>
      <c r="H26" s="156"/>
      <c r="I26" s="157"/>
      <c r="J26" s="158"/>
      <c r="K26" s="159"/>
      <c r="L26" s="160"/>
      <c r="M26" s="161"/>
      <c r="N26" s="162"/>
      <c r="O26" s="163"/>
      <c r="P26" s="164"/>
      <c r="Q26" s="165"/>
      <c r="R26" s="166"/>
      <c r="S26" s="167"/>
      <c r="T26" s="109">
        <f t="shared" si="4"/>
        <v>0</v>
      </c>
      <c r="U26" s="109">
        <f t="shared" si="5"/>
        <v>0</v>
      </c>
      <c r="V26" s="109">
        <f>T26*0.4</f>
        <v>0</v>
      </c>
      <c r="W26" s="110">
        <f t="shared" si="6"/>
        <v>0</v>
      </c>
    </row>
    <row r="27" spans="2:23" ht="110" customHeight="1" x14ac:dyDescent="0.45">
      <c r="B27" s="97" t="s">
        <v>21</v>
      </c>
      <c r="C27" s="94"/>
      <c r="D27" s="102">
        <v>6</v>
      </c>
      <c r="E27" s="102" t="s">
        <v>31</v>
      </c>
      <c r="F27" s="103">
        <v>81</v>
      </c>
      <c r="G27" s="155"/>
      <c r="H27" s="156"/>
      <c r="I27" s="157"/>
      <c r="J27" s="158"/>
      <c r="K27" s="159"/>
      <c r="L27" s="160"/>
      <c r="M27" s="161"/>
      <c r="N27" s="162"/>
      <c r="O27" s="163"/>
      <c r="P27" s="164"/>
      <c r="Q27" s="165"/>
      <c r="R27" s="166"/>
      <c r="S27" s="167"/>
      <c r="T27" s="109">
        <f t="shared" si="4"/>
        <v>0</v>
      </c>
      <c r="U27" s="109">
        <f t="shared" si="5"/>
        <v>0</v>
      </c>
      <c r="V27" s="109">
        <f>T27*1.2</f>
        <v>0</v>
      </c>
      <c r="W27" s="110">
        <f t="shared" si="6"/>
        <v>0</v>
      </c>
    </row>
    <row r="28" spans="2:23" ht="110" customHeight="1" x14ac:dyDescent="0.45">
      <c r="B28" s="97" t="s">
        <v>22</v>
      </c>
      <c r="C28" s="94"/>
      <c r="D28" s="102">
        <v>6</v>
      </c>
      <c r="E28" s="102" t="s">
        <v>32</v>
      </c>
      <c r="F28" s="103">
        <v>58</v>
      </c>
      <c r="G28" s="155"/>
      <c r="H28" s="156"/>
      <c r="I28" s="157"/>
      <c r="J28" s="158"/>
      <c r="K28" s="159"/>
      <c r="L28" s="160"/>
      <c r="M28" s="161"/>
      <c r="N28" s="162"/>
      <c r="O28" s="163"/>
      <c r="P28" s="164"/>
      <c r="Q28" s="165"/>
      <c r="R28" s="166"/>
      <c r="S28" s="167"/>
      <c r="T28" s="109">
        <f t="shared" si="4"/>
        <v>0</v>
      </c>
      <c r="U28" s="109">
        <f t="shared" si="5"/>
        <v>0</v>
      </c>
      <c r="V28" s="109">
        <f>T28*0.77</f>
        <v>0</v>
      </c>
      <c r="W28" s="110">
        <f t="shared" si="6"/>
        <v>0</v>
      </c>
    </row>
    <row r="29" spans="2:23" ht="110" customHeight="1" x14ac:dyDescent="0.45">
      <c r="B29" s="97" t="s">
        <v>23</v>
      </c>
      <c r="C29" s="94"/>
      <c r="D29" s="102">
        <v>6</v>
      </c>
      <c r="E29" s="102" t="s">
        <v>33</v>
      </c>
      <c r="F29" s="103">
        <v>140</v>
      </c>
      <c r="G29" s="155"/>
      <c r="H29" s="156"/>
      <c r="I29" s="157"/>
      <c r="J29" s="158"/>
      <c r="K29" s="159"/>
      <c r="L29" s="160"/>
      <c r="M29" s="161"/>
      <c r="N29" s="162"/>
      <c r="O29" s="163"/>
      <c r="P29" s="164"/>
      <c r="Q29" s="165"/>
      <c r="R29" s="166"/>
      <c r="S29" s="167"/>
      <c r="T29" s="109">
        <f t="shared" si="4"/>
        <v>0</v>
      </c>
      <c r="U29" s="109">
        <f t="shared" si="5"/>
        <v>0</v>
      </c>
      <c r="V29" s="109">
        <f>T29*2.27</f>
        <v>0</v>
      </c>
      <c r="W29" s="110">
        <f t="shared" si="6"/>
        <v>0</v>
      </c>
    </row>
    <row r="30" spans="2:23" ht="110" customHeight="1" x14ac:dyDescent="0.45">
      <c r="B30" s="97" t="s">
        <v>24</v>
      </c>
      <c r="C30" s="94"/>
      <c r="D30" s="102">
        <v>6</v>
      </c>
      <c r="E30" s="102" t="s">
        <v>34</v>
      </c>
      <c r="F30" s="103">
        <v>72</v>
      </c>
      <c r="G30" s="155"/>
      <c r="H30" s="156"/>
      <c r="I30" s="157"/>
      <c r="J30" s="158"/>
      <c r="K30" s="159"/>
      <c r="L30" s="160"/>
      <c r="M30" s="161"/>
      <c r="N30" s="162"/>
      <c r="O30" s="163"/>
      <c r="P30" s="164"/>
      <c r="Q30" s="165"/>
      <c r="R30" s="166"/>
      <c r="S30" s="167"/>
      <c r="T30" s="109">
        <f t="shared" si="4"/>
        <v>0</v>
      </c>
      <c r="U30" s="109">
        <f t="shared" si="5"/>
        <v>0</v>
      </c>
      <c r="V30" s="109">
        <f>T30*1.04</f>
        <v>0</v>
      </c>
      <c r="W30" s="110">
        <f t="shared" si="6"/>
        <v>0</v>
      </c>
    </row>
    <row r="31" spans="2:23" ht="110" customHeight="1" x14ac:dyDescent="0.45">
      <c r="B31" s="97" t="s">
        <v>25</v>
      </c>
      <c r="C31" s="94"/>
      <c r="D31" s="102">
        <v>6</v>
      </c>
      <c r="E31" s="102" t="s">
        <v>35</v>
      </c>
      <c r="F31" s="103">
        <v>116</v>
      </c>
      <c r="G31" s="155"/>
      <c r="H31" s="156"/>
      <c r="I31" s="157"/>
      <c r="J31" s="158"/>
      <c r="K31" s="159"/>
      <c r="L31" s="160"/>
      <c r="M31" s="161"/>
      <c r="N31" s="162"/>
      <c r="O31" s="163"/>
      <c r="P31" s="164"/>
      <c r="Q31" s="165"/>
      <c r="R31" s="166"/>
      <c r="S31" s="167"/>
      <c r="T31" s="109">
        <f t="shared" si="4"/>
        <v>0</v>
      </c>
      <c r="U31" s="109">
        <f t="shared" si="5"/>
        <v>0</v>
      </c>
      <c r="V31" s="109">
        <f>T31*1.84</f>
        <v>0</v>
      </c>
      <c r="W31" s="110">
        <f t="shared" si="6"/>
        <v>0</v>
      </c>
    </row>
    <row r="32" spans="2:23" ht="110" customHeight="1" x14ac:dyDescent="0.45">
      <c r="B32" s="114" t="s">
        <v>26</v>
      </c>
      <c r="C32" s="89"/>
      <c r="D32" s="118">
        <v>6</v>
      </c>
      <c r="E32" s="118" t="s">
        <v>36</v>
      </c>
      <c r="F32" s="119">
        <v>213</v>
      </c>
      <c r="G32" s="155"/>
      <c r="H32" s="156"/>
      <c r="I32" s="157"/>
      <c r="J32" s="158"/>
      <c r="K32" s="159"/>
      <c r="L32" s="160"/>
      <c r="M32" s="161"/>
      <c r="N32" s="162"/>
      <c r="O32" s="163"/>
      <c r="P32" s="164"/>
      <c r="Q32" s="165"/>
      <c r="R32" s="166"/>
      <c r="S32" s="167"/>
      <c r="T32" s="120">
        <f t="shared" si="4"/>
        <v>0</v>
      </c>
      <c r="U32" s="120">
        <f t="shared" si="5"/>
        <v>0</v>
      </c>
      <c r="V32" s="120">
        <f>T32*2.2</f>
        <v>0</v>
      </c>
      <c r="W32" s="122">
        <f t="shared" si="6"/>
        <v>0</v>
      </c>
    </row>
    <row r="33" spans="2:23" ht="110" customHeight="1" x14ac:dyDescent="0.45">
      <c r="B33" s="114" t="s">
        <v>27</v>
      </c>
      <c r="C33" s="89"/>
      <c r="D33" s="118">
        <v>6</v>
      </c>
      <c r="E33" s="118" t="s">
        <v>37</v>
      </c>
      <c r="F33" s="119">
        <v>258</v>
      </c>
      <c r="G33" s="155"/>
      <c r="H33" s="156"/>
      <c r="I33" s="157"/>
      <c r="J33" s="158"/>
      <c r="K33" s="159"/>
      <c r="L33" s="160"/>
      <c r="M33" s="161"/>
      <c r="N33" s="162"/>
      <c r="O33" s="163"/>
      <c r="P33" s="164"/>
      <c r="Q33" s="165"/>
      <c r="R33" s="166"/>
      <c r="S33" s="167"/>
      <c r="T33" s="120">
        <f t="shared" si="4"/>
        <v>0</v>
      </c>
      <c r="U33" s="120">
        <f t="shared" si="5"/>
        <v>0</v>
      </c>
      <c r="V33" s="120">
        <f>T33*2.9</f>
        <v>0</v>
      </c>
      <c r="W33" s="122">
        <f t="shared" si="6"/>
        <v>0</v>
      </c>
    </row>
    <row r="34" spans="2:23" ht="110" customHeight="1" thickBot="1" x14ac:dyDescent="0.5">
      <c r="B34" s="99" t="s">
        <v>28</v>
      </c>
      <c r="C34" s="90"/>
      <c r="D34" s="105">
        <v>6</v>
      </c>
      <c r="E34" s="105" t="s">
        <v>38</v>
      </c>
      <c r="F34" s="106">
        <v>305</v>
      </c>
      <c r="G34" s="168"/>
      <c r="H34" s="169"/>
      <c r="I34" s="170"/>
      <c r="J34" s="171"/>
      <c r="K34" s="209"/>
      <c r="L34" s="173"/>
      <c r="M34" s="174"/>
      <c r="N34" s="175"/>
      <c r="O34" s="176"/>
      <c r="P34" s="177"/>
      <c r="Q34" s="178"/>
      <c r="R34" s="179"/>
      <c r="S34" s="180"/>
      <c r="T34" s="112">
        <f t="shared" si="4"/>
        <v>0</v>
      </c>
      <c r="U34" s="112">
        <f t="shared" si="5"/>
        <v>0</v>
      </c>
      <c r="V34" s="112">
        <f>T34*3.62</f>
        <v>0</v>
      </c>
      <c r="W34" s="113">
        <f t="shared" si="6"/>
        <v>0</v>
      </c>
    </row>
    <row r="35" spans="2:23" x14ac:dyDescent="0.45">
      <c r="B35" s="9"/>
      <c r="C35" s="9"/>
      <c r="D35" s="9"/>
      <c r="E35" s="9"/>
      <c r="F35" s="9"/>
      <c r="G35" s="16">
        <f t="shared" ref="G35:W35" si="7">SUM(G25:G34)</f>
        <v>0</v>
      </c>
      <c r="H35" s="16">
        <f t="shared" si="7"/>
        <v>0</v>
      </c>
      <c r="I35" s="16">
        <f t="shared" si="7"/>
        <v>0</v>
      </c>
      <c r="J35" s="211">
        <f t="shared" si="7"/>
        <v>0</v>
      </c>
      <c r="K35" s="16">
        <f t="shared" si="7"/>
        <v>0</v>
      </c>
      <c r="L35" s="16">
        <f t="shared" si="7"/>
        <v>0</v>
      </c>
      <c r="M35" s="16">
        <f t="shared" si="7"/>
        <v>0</v>
      </c>
      <c r="N35" s="16">
        <f t="shared" si="7"/>
        <v>0</v>
      </c>
      <c r="O35" s="16">
        <f t="shared" si="7"/>
        <v>0</v>
      </c>
      <c r="P35" s="16">
        <f t="shared" si="7"/>
        <v>0</v>
      </c>
      <c r="Q35" s="16">
        <f t="shared" si="7"/>
        <v>0</v>
      </c>
      <c r="R35" s="16">
        <f t="shared" si="7"/>
        <v>0</v>
      </c>
      <c r="S35" s="16">
        <f t="shared" si="7"/>
        <v>0</v>
      </c>
      <c r="T35" s="16">
        <f t="shared" si="7"/>
        <v>0</v>
      </c>
      <c r="U35" s="16">
        <f t="shared" si="7"/>
        <v>0</v>
      </c>
      <c r="V35" s="16">
        <f t="shared" si="7"/>
        <v>0</v>
      </c>
      <c r="W35" s="27">
        <f t="shared" si="7"/>
        <v>0</v>
      </c>
    </row>
  </sheetData>
  <sheetProtection algorithmName="SHA-512" hashValue="M08mNwvtYJc/Om6ObjcwVfh1SXM/0istJfzs4dQtfV5xAONLzeI32zPqdzXsNLJ+rTpJ1nK2pSZsjY/4MeD4Kg==" saltValue="78YZLv+VnZxP13DHSEg3JA==" spinCount="100000" sheet="1" objects="1" scenarios="1" selectLockedCells="1"/>
  <mergeCells count="2">
    <mergeCell ref="B2:D2"/>
    <mergeCell ref="B23:D2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DE09-82C8-46E4-A4AD-A1896D113E04}">
  <sheetPr>
    <tabColor theme="5"/>
  </sheetPr>
  <dimension ref="B2:U37"/>
  <sheetViews>
    <sheetView zoomScale="60" zoomScaleNormal="60" workbookViewId="0">
      <selection activeCell="H12" sqref="H12"/>
    </sheetView>
  </sheetViews>
  <sheetFormatPr defaultRowHeight="14.25" x14ac:dyDescent="0.45"/>
  <cols>
    <col min="3" max="3" width="20.06640625" customWidth="1"/>
    <col min="5" max="5" width="10" style="23" customWidth="1"/>
    <col min="7" max="7" width="10.1328125" customWidth="1"/>
    <col min="15" max="15" width="9.06640625" style="23"/>
    <col min="21" max="21" width="13.3984375" customWidth="1"/>
  </cols>
  <sheetData>
    <row r="2" spans="2:21" x14ac:dyDescent="0.45">
      <c r="G2" s="455" t="s">
        <v>285</v>
      </c>
      <c r="H2" s="460"/>
      <c r="I2" s="460"/>
      <c r="J2" s="460"/>
      <c r="K2" s="460"/>
      <c r="L2" s="460"/>
      <c r="M2" s="460"/>
      <c r="N2" s="460"/>
      <c r="O2" s="460"/>
    </row>
    <row r="3" spans="2:21" x14ac:dyDescent="0.45">
      <c r="G3" s="460"/>
      <c r="H3" s="460"/>
      <c r="I3" s="460"/>
      <c r="J3" s="460"/>
      <c r="K3" s="460"/>
      <c r="L3" s="460"/>
      <c r="M3" s="460"/>
      <c r="N3" s="460"/>
      <c r="O3" s="460"/>
    </row>
    <row r="4" spans="2:21" ht="14.65" thickBot="1" x14ac:dyDescent="0.5">
      <c r="E4" s="461" t="s">
        <v>294</v>
      </c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</row>
    <row r="5" spans="2:21" ht="14.65" thickBot="1" x14ac:dyDescent="0.5">
      <c r="B5" s="212" t="s">
        <v>11</v>
      </c>
      <c r="C5" s="213" t="s">
        <v>217</v>
      </c>
      <c r="D5" s="214" t="s">
        <v>12</v>
      </c>
      <c r="E5" s="214" t="s">
        <v>267</v>
      </c>
      <c r="F5" s="214" t="s">
        <v>13</v>
      </c>
      <c r="G5" s="214" t="s">
        <v>14</v>
      </c>
      <c r="H5" s="70" t="s">
        <v>290</v>
      </c>
      <c r="I5" s="71" t="s">
        <v>291</v>
      </c>
      <c r="J5" s="72" t="s">
        <v>292</v>
      </c>
      <c r="K5" s="73" t="s">
        <v>293</v>
      </c>
      <c r="L5" s="74" t="s">
        <v>286</v>
      </c>
      <c r="M5" s="75" t="s">
        <v>286</v>
      </c>
      <c r="N5" s="76" t="s">
        <v>286</v>
      </c>
      <c r="O5" s="77" t="s">
        <v>287</v>
      </c>
      <c r="P5" s="80" t="s">
        <v>289</v>
      </c>
      <c r="Q5" s="81" t="s">
        <v>288</v>
      </c>
      <c r="R5" s="83" t="s">
        <v>60</v>
      </c>
      <c r="S5" s="83" t="s">
        <v>266</v>
      </c>
      <c r="T5" s="84" t="s">
        <v>59</v>
      </c>
      <c r="U5" s="85" t="s">
        <v>15</v>
      </c>
    </row>
    <row r="6" spans="2:21" ht="14.65" thickBot="1" x14ac:dyDescent="0.5">
      <c r="B6" s="245"/>
    </row>
    <row r="7" spans="2:21" ht="110" customHeight="1" x14ac:dyDescent="0.45">
      <c r="B7" s="250" t="s">
        <v>218</v>
      </c>
      <c r="C7" s="251"/>
      <c r="D7" s="252">
        <v>1</v>
      </c>
      <c r="E7" s="252" t="s">
        <v>268</v>
      </c>
      <c r="F7" s="253" t="s">
        <v>235</v>
      </c>
      <c r="G7" s="291">
        <v>275</v>
      </c>
      <c r="H7" s="262"/>
      <c r="I7" s="265"/>
      <c r="J7" s="268"/>
      <c r="K7" s="271"/>
      <c r="L7" s="274"/>
      <c r="M7" s="277"/>
      <c r="N7" s="280"/>
      <c r="O7" s="283"/>
      <c r="P7" s="286"/>
      <c r="Q7" s="254"/>
      <c r="R7" s="252">
        <f>SUM(H7:Q7)</f>
        <v>0</v>
      </c>
      <c r="S7" s="252">
        <f>R7*1</f>
        <v>0</v>
      </c>
      <c r="T7" s="252">
        <f>R7*2.444</f>
        <v>0</v>
      </c>
      <c r="U7" s="302">
        <f>R7*G7</f>
        <v>0</v>
      </c>
    </row>
    <row r="8" spans="2:21" ht="110" customHeight="1" x14ac:dyDescent="0.45">
      <c r="B8" s="255" t="s">
        <v>219</v>
      </c>
      <c r="C8" s="247"/>
      <c r="D8" s="248">
        <v>1</v>
      </c>
      <c r="E8" s="248" t="s">
        <v>269</v>
      </c>
      <c r="F8" s="246" t="s">
        <v>236</v>
      </c>
      <c r="G8" s="292">
        <v>275</v>
      </c>
      <c r="H8" s="263"/>
      <c r="I8" s="266"/>
      <c r="J8" s="269"/>
      <c r="K8" s="272"/>
      <c r="L8" s="275"/>
      <c r="M8" s="278"/>
      <c r="N8" s="281"/>
      <c r="O8" s="284"/>
      <c r="P8" s="287"/>
      <c r="Q8" s="249"/>
      <c r="R8" s="248">
        <f>SUM(H8:Q8)</f>
        <v>0</v>
      </c>
      <c r="S8" s="248">
        <f>R8*1</f>
        <v>0</v>
      </c>
      <c r="T8" s="248">
        <f>R8*2.105</f>
        <v>0</v>
      </c>
      <c r="U8" s="303">
        <f>R8*G8</f>
        <v>0</v>
      </c>
    </row>
    <row r="9" spans="2:21" ht="20" customHeight="1" x14ac:dyDescent="0.45">
      <c r="B9" s="255" t="s">
        <v>252</v>
      </c>
      <c r="C9" s="247"/>
      <c r="D9" s="248">
        <v>2</v>
      </c>
      <c r="E9" s="248"/>
      <c r="F9" s="246" t="s">
        <v>259</v>
      </c>
      <c r="G9" s="292">
        <v>530</v>
      </c>
      <c r="H9" s="263"/>
      <c r="I9" s="266"/>
      <c r="J9" s="269"/>
      <c r="K9" s="272"/>
      <c r="L9" s="275"/>
      <c r="M9" s="278"/>
      <c r="N9" s="281"/>
      <c r="O9" s="284"/>
      <c r="P9" s="287"/>
      <c r="Q9" s="249"/>
      <c r="R9" s="248">
        <f>SUM(H9:Q9)</f>
        <v>0</v>
      </c>
      <c r="S9" s="248">
        <f>R9*D9</f>
        <v>0</v>
      </c>
      <c r="T9" s="248">
        <f>R9*4.55</f>
        <v>0</v>
      </c>
      <c r="U9" s="303">
        <f>R9*G9</f>
        <v>0</v>
      </c>
    </row>
    <row r="10" spans="2:21" s="23" customFormat="1" x14ac:dyDescent="0.45">
      <c r="B10" s="255"/>
      <c r="C10" s="247"/>
      <c r="D10" s="248"/>
      <c r="E10" s="248"/>
      <c r="F10" s="246"/>
      <c r="G10" s="292"/>
      <c r="H10" s="289"/>
      <c r="I10" s="289"/>
      <c r="J10" s="289"/>
      <c r="K10" s="290"/>
      <c r="L10" s="289"/>
      <c r="M10" s="289"/>
      <c r="N10" s="289"/>
      <c r="O10" s="289"/>
      <c r="P10" s="289"/>
      <c r="Q10" s="249"/>
      <c r="R10" s="248"/>
      <c r="S10" s="248"/>
      <c r="T10" s="248"/>
      <c r="U10" s="256"/>
    </row>
    <row r="11" spans="2:21" ht="110" customHeight="1" x14ac:dyDescent="0.45">
      <c r="B11" s="255" t="s">
        <v>220</v>
      </c>
      <c r="C11" s="247"/>
      <c r="D11" s="248">
        <v>1</v>
      </c>
      <c r="E11" s="248" t="s">
        <v>270</v>
      </c>
      <c r="F11" s="246" t="s">
        <v>237</v>
      </c>
      <c r="G11" s="292">
        <v>275</v>
      </c>
      <c r="H11" s="263"/>
      <c r="I11" s="266"/>
      <c r="J11" s="269"/>
      <c r="K11" s="272"/>
      <c r="L11" s="275"/>
      <c r="M11" s="278"/>
      <c r="N11" s="281"/>
      <c r="O11" s="284"/>
      <c r="P11" s="287"/>
      <c r="Q11" s="249"/>
      <c r="R11" s="248">
        <f>SUM(H11:Q11)</f>
        <v>0</v>
      </c>
      <c r="S11" s="248">
        <f>R11*1</f>
        <v>0</v>
      </c>
      <c r="T11" s="248">
        <f>R11*2.208</f>
        <v>0</v>
      </c>
      <c r="U11" s="303">
        <f>R11*G11</f>
        <v>0</v>
      </c>
    </row>
    <row r="12" spans="2:21" ht="110" customHeight="1" x14ac:dyDescent="0.45">
      <c r="B12" s="255" t="s">
        <v>221</v>
      </c>
      <c r="C12" s="247"/>
      <c r="D12" s="248">
        <v>1</v>
      </c>
      <c r="E12" s="248" t="s">
        <v>271</v>
      </c>
      <c r="F12" s="246" t="s">
        <v>238</v>
      </c>
      <c r="G12" s="292">
        <v>275</v>
      </c>
      <c r="H12" s="263"/>
      <c r="I12" s="266"/>
      <c r="J12" s="269"/>
      <c r="K12" s="272"/>
      <c r="L12" s="275"/>
      <c r="M12" s="278"/>
      <c r="N12" s="281"/>
      <c r="O12" s="284"/>
      <c r="P12" s="287"/>
      <c r="Q12" s="249"/>
      <c r="R12" s="248">
        <f>SUM(H12:Q12)</f>
        <v>0</v>
      </c>
      <c r="S12" s="248">
        <f>R12*1</f>
        <v>0</v>
      </c>
      <c r="T12" s="248">
        <f>R12*2.644</f>
        <v>0</v>
      </c>
      <c r="U12" s="303">
        <f>R12*G12</f>
        <v>0</v>
      </c>
    </row>
    <row r="13" spans="2:21" ht="20" customHeight="1" x14ac:dyDescent="0.45">
      <c r="B13" s="255" t="s">
        <v>253</v>
      </c>
      <c r="C13" s="247"/>
      <c r="D13" s="248">
        <v>2</v>
      </c>
      <c r="E13" s="248"/>
      <c r="F13" s="246" t="s">
        <v>260</v>
      </c>
      <c r="G13" s="292">
        <v>530</v>
      </c>
      <c r="H13" s="263"/>
      <c r="I13" s="266"/>
      <c r="J13" s="269"/>
      <c r="K13" s="272"/>
      <c r="L13" s="275"/>
      <c r="M13" s="278"/>
      <c r="N13" s="281"/>
      <c r="O13" s="284"/>
      <c r="P13" s="287"/>
      <c r="Q13" s="249"/>
      <c r="R13" s="248">
        <f>SUM(H13:Q13)</f>
        <v>0</v>
      </c>
      <c r="S13" s="248">
        <f>R13*D13</f>
        <v>0</v>
      </c>
      <c r="T13" s="248">
        <f>R13*4.852</f>
        <v>0</v>
      </c>
      <c r="U13" s="303">
        <f>R13*G13</f>
        <v>0</v>
      </c>
    </row>
    <row r="14" spans="2:21" s="23" customFormat="1" x14ac:dyDescent="0.45">
      <c r="B14" s="255"/>
      <c r="C14" s="247"/>
      <c r="D14" s="248"/>
      <c r="E14" s="248"/>
      <c r="F14" s="246"/>
      <c r="G14" s="292"/>
      <c r="H14" s="289"/>
      <c r="I14" s="289"/>
      <c r="J14" s="289"/>
      <c r="K14" s="290"/>
      <c r="L14" s="289"/>
      <c r="M14" s="289"/>
      <c r="N14" s="289"/>
      <c r="O14" s="289"/>
      <c r="P14" s="289"/>
      <c r="Q14" s="249"/>
      <c r="R14" s="248"/>
      <c r="S14" s="248"/>
      <c r="T14" s="248"/>
      <c r="U14" s="256"/>
    </row>
    <row r="15" spans="2:21" ht="110" customHeight="1" x14ac:dyDescent="0.45">
      <c r="B15" s="255" t="s">
        <v>222</v>
      </c>
      <c r="C15" s="247"/>
      <c r="D15" s="248">
        <v>1</v>
      </c>
      <c r="E15" s="248" t="s">
        <v>272</v>
      </c>
      <c r="F15" s="246" t="s">
        <v>239</v>
      </c>
      <c r="G15" s="292">
        <v>250</v>
      </c>
      <c r="H15" s="263"/>
      <c r="I15" s="266"/>
      <c r="J15" s="269"/>
      <c r="K15" s="272"/>
      <c r="L15" s="275"/>
      <c r="M15" s="278"/>
      <c r="N15" s="281"/>
      <c r="O15" s="284"/>
      <c r="P15" s="287"/>
      <c r="Q15" s="249"/>
      <c r="R15" s="248">
        <f>SUM(H15:Q15)</f>
        <v>0</v>
      </c>
      <c r="S15" s="248">
        <f>R15*1</f>
        <v>0</v>
      </c>
      <c r="T15" s="248">
        <f>R15*2.205</f>
        <v>0</v>
      </c>
      <c r="U15" s="303">
        <f>R15*G15</f>
        <v>0</v>
      </c>
    </row>
    <row r="16" spans="2:21" ht="110" customHeight="1" x14ac:dyDescent="0.45">
      <c r="B16" s="255" t="s">
        <v>223</v>
      </c>
      <c r="C16" s="247"/>
      <c r="D16" s="248">
        <v>1</v>
      </c>
      <c r="E16" s="248" t="s">
        <v>273</v>
      </c>
      <c r="F16" s="246" t="s">
        <v>240</v>
      </c>
      <c r="G16" s="292">
        <v>275</v>
      </c>
      <c r="H16" s="263"/>
      <c r="I16" s="266"/>
      <c r="J16" s="269"/>
      <c r="K16" s="272"/>
      <c r="L16" s="275"/>
      <c r="M16" s="278"/>
      <c r="N16" s="281"/>
      <c r="O16" s="284"/>
      <c r="P16" s="287"/>
      <c r="Q16" s="249"/>
      <c r="R16" s="248">
        <f>SUM(H16:Q16)</f>
        <v>0</v>
      </c>
      <c r="S16" s="248">
        <f>R16*1</f>
        <v>0</v>
      </c>
      <c r="T16" s="248">
        <f>R16*2.557</f>
        <v>0</v>
      </c>
      <c r="U16" s="303">
        <f>R16*G16</f>
        <v>0</v>
      </c>
    </row>
    <row r="17" spans="2:21" ht="20" customHeight="1" x14ac:dyDescent="0.45">
      <c r="B17" s="255" t="s">
        <v>254</v>
      </c>
      <c r="C17" s="247"/>
      <c r="D17" s="248">
        <v>2</v>
      </c>
      <c r="E17" s="248"/>
      <c r="F17" s="246" t="s">
        <v>261</v>
      </c>
      <c r="G17" s="292">
        <v>505</v>
      </c>
      <c r="H17" s="263"/>
      <c r="I17" s="266"/>
      <c r="J17" s="269"/>
      <c r="K17" s="272"/>
      <c r="L17" s="275"/>
      <c r="M17" s="278"/>
      <c r="N17" s="281"/>
      <c r="O17" s="284"/>
      <c r="P17" s="287"/>
      <c r="Q17" s="249"/>
      <c r="R17" s="248">
        <f>SUM(H17:Q17)</f>
        <v>0</v>
      </c>
      <c r="S17" s="248">
        <f>R17*D17</f>
        <v>0</v>
      </c>
      <c r="T17" s="248">
        <f>R17*4.762</f>
        <v>0</v>
      </c>
      <c r="U17" s="303">
        <f>R17*G17</f>
        <v>0</v>
      </c>
    </row>
    <row r="18" spans="2:21" s="23" customFormat="1" x14ac:dyDescent="0.45">
      <c r="B18" s="255"/>
      <c r="C18" s="247"/>
      <c r="D18" s="248"/>
      <c r="E18" s="248"/>
      <c r="F18" s="246"/>
      <c r="G18" s="292"/>
      <c r="H18" s="289"/>
      <c r="I18" s="289"/>
      <c r="J18" s="289"/>
      <c r="K18" s="290"/>
      <c r="L18" s="289"/>
      <c r="M18" s="289"/>
      <c r="N18" s="289"/>
      <c r="O18" s="289"/>
      <c r="P18" s="289"/>
      <c r="Q18" s="289"/>
      <c r="R18" s="248"/>
      <c r="S18" s="248"/>
      <c r="T18" s="248"/>
      <c r="U18" s="256"/>
    </row>
    <row r="19" spans="2:21" ht="110" customHeight="1" x14ac:dyDescent="0.45">
      <c r="B19" s="255" t="s">
        <v>224</v>
      </c>
      <c r="C19" s="247"/>
      <c r="D19" s="248">
        <v>1</v>
      </c>
      <c r="E19" s="248" t="s">
        <v>274</v>
      </c>
      <c r="F19" s="246" t="s">
        <v>241</v>
      </c>
      <c r="G19" s="292">
        <v>212</v>
      </c>
      <c r="H19" s="263"/>
      <c r="I19" s="266"/>
      <c r="J19" s="269"/>
      <c r="K19" s="272"/>
      <c r="L19" s="275"/>
      <c r="M19" s="278"/>
      <c r="N19" s="281"/>
      <c r="O19" s="284"/>
      <c r="P19" s="287"/>
      <c r="Q19" s="249"/>
      <c r="R19" s="248">
        <f>SUM(H19:Q19)</f>
        <v>0</v>
      </c>
      <c r="S19" s="248">
        <f>R19*1</f>
        <v>0</v>
      </c>
      <c r="T19" s="248">
        <f>R19*1.741</f>
        <v>0</v>
      </c>
      <c r="U19" s="303">
        <f>R19*G19</f>
        <v>0</v>
      </c>
    </row>
    <row r="20" spans="2:21" ht="110" customHeight="1" x14ac:dyDescent="0.45">
      <c r="B20" s="255" t="s">
        <v>225</v>
      </c>
      <c r="C20" s="247"/>
      <c r="D20" s="248">
        <v>1</v>
      </c>
      <c r="E20" s="248" t="s">
        <v>275</v>
      </c>
      <c r="F20" s="246" t="s">
        <v>242</v>
      </c>
      <c r="G20" s="292">
        <v>225</v>
      </c>
      <c r="H20" s="263"/>
      <c r="I20" s="266"/>
      <c r="J20" s="269"/>
      <c r="K20" s="272"/>
      <c r="L20" s="275"/>
      <c r="M20" s="278"/>
      <c r="N20" s="281"/>
      <c r="O20" s="284"/>
      <c r="P20" s="287"/>
      <c r="Q20" s="249"/>
      <c r="R20" s="248">
        <f>SUM(H20:Q20)</f>
        <v>0</v>
      </c>
      <c r="S20" s="248">
        <f>R20*1</f>
        <v>0</v>
      </c>
      <c r="T20" s="248">
        <f>R20*1.609</f>
        <v>0</v>
      </c>
      <c r="U20" s="303">
        <f>R20*G20</f>
        <v>0</v>
      </c>
    </row>
    <row r="21" spans="2:21" ht="110" customHeight="1" x14ac:dyDescent="0.45">
      <c r="B21" s="255" t="s">
        <v>226</v>
      </c>
      <c r="C21" s="247"/>
      <c r="D21" s="248">
        <v>1</v>
      </c>
      <c r="E21" s="248" t="s">
        <v>276</v>
      </c>
      <c r="F21" s="246" t="s">
        <v>243</v>
      </c>
      <c r="G21" s="292">
        <v>225</v>
      </c>
      <c r="H21" s="263"/>
      <c r="I21" s="266"/>
      <c r="J21" s="269"/>
      <c r="K21" s="272"/>
      <c r="L21" s="275"/>
      <c r="M21" s="278"/>
      <c r="N21" s="281"/>
      <c r="O21" s="284"/>
      <c r="P21" s="287"/>
      <c r="Q21" s="249"/>
      <c r="R21" s="248">
        <f>SUM(H21:Q21)</f>
        <v>0</v>
      </c>
      <c r="S21" s="248">
        <f>R21*1</f>
        <v>0</v>
      </c>
      <c r="T21" s="248">
        <f>R21*1.671</f>
        <v>0</v>
      </c>
      <c r="U21" s="303">
        <f>R21*G21</f>
        <v>0</v>
      </c>
    </row>
    <row r="22" spans="2:21" ht="20" customHeight="1" x14ac:dyDescent="0.45">
      <c r="B22" s="255" t="s">
        <v>255</v>
      </c>
      <c r="C22" s="247"/>
      <c r="D22" s="248">
        <v>3</v>
      </c>
      <c r="E22" s="248"/>
      <c r="F22" s="246" t="s">
        <v>262</v>
      </c>
      <c r="G22" s="292">
        <v>640</v>
      </c>
      <c r="H22" s="263"/>
      <c r="I22" s="266"/>
      <c r="J22" s="269"/>
      <c r="K22" s="272"/>
      <c r="L22" s="275"/>
      <c r="M22" s="278"/>
      <c r="N22" s="281"/>
      <c r="O22" s="284"/>
      <c r="P22" s="287"/>
      <c r="Q22" s="249"/>
      <c r="R22" s="248">
        <f>SUM(H22:Q22)</f>
        <v>0</v>
      </c>
      <c r="S22" s="248">
        <f>R22*D22</f>
        <v>0</v>
      </c>
      <c r="T22" s="248">
        <f>R22*5.021</f>
        <v>0</v>
      </c>
      <c r="U22" s="303">
        <f>R22*G22</f>
        <v>0</v>
      </c>
    </row>
    <row r="23" spans="2:21" s="23" customFormat="1" x14ac:dyDescent="0.45">
      <c r="B23" s="255"/>
      <c r="C23" s="247"/>
      <c r="D23" s="248"/>
      <c r="E23" s="248"/>
      <c r="F23" s="246"/>
      <c r="G23" s="292"/>
      <c r="H23" s="289"/>
      <c r="I23" s="289"/>
      <c r="J23" s="289"/>
      <c r="K23" s="290"/>
      <c r="L23" s="289"/>
      <c r="M23" s="289"/>
      <c r="N23" s="289"/>
      <c r="O23" s="289"/>
      <c r="P23" s="289"/>
      <c r="Q23" s="249"/>
      <c r="R23" s="248"/>
      <c r="S23" s="248"/>
      <c r="T23" s="248"/>
      <c r="U23" s="256"/>
    </row>
    <row r="24" spans="2:21" ht="110" customHeight="1" x14ac:dyDescent="0.45">
      <c r="B24" s="255" t="s">
        <v>227</v>
      </c>
      <c r="C24" s="247"/>
      <c r="D24" s="248">
        <v>1</v>
      </c>
      <c r="E24" s="248" t="s">
        <v>277</v>
      </c>
      <c r="F24" s="246" t="s">
        <v>244</v>
      </c>
      <c r="G24" s="292">
        <v>181</v>
      </c>
      <c r="H24" s="263"/>
      <c r="I24" s="266"/>
      <c r="J24" s="269"/>
      <c r="K24" s="272"/>
      <c r="L24" s="275"/>
      <c r="M24" s="278"/>
      <c r="N24" s="281"/>
      <c r="O24" s="284"/>
      <c r="P24" s="287"/>
      <c r="Q24" s="249"/>
      <c r="R24" s="248">
        <f>SUM(H24:Q24)</f>
        <v>0</v>
      </c>
      <c r="S24" s="248">
        <f>R24*1</f>
        <v>0</v>
      </c>
      <c r="T24" s="248">
        <f>R24*1.555</f>
        <v>0</v>
      </c>
      <c r="U24" s="303">
        <f>R24*G24</f>
        <v>0</v>
      </c>
    </row>
    <row r="25" spans="2:21" ht="110" customHeight="1" x14ac:dyDescent="0.45">
      <c r="B25" s="255" t="s">
        <v>228</v>
      </c>
      <c r="C25" s="247"/>
      <c r="D25" s="248">
        <v>1</v>
      </c>
      <c r="E25" s="248" t="s">
        <v>278</v>
      </c>
      <c r="F25" s="246" t="s">
        <v>245</v>
      </c>
      <c r="G25" s="292">
        <v>181</v>
      </c>
      <c r="H25" s="263"/>
      <c r="I25" s="266"/>
      <c r="J25" s="269"/>
      <c r="K25" s="272"/>
      <c r="L25" s="275"/>
      <c r="M25" s="278"/>
      <c r="N25" s="281"/>
      <c r="O25" s="284"/>
      <c r="P25" s="287"/>
      <c r="Q25" s="249"/>
      <c r="R25" s="248">
        <f>SUM(H25:Q25)</f>
        <v>0</v>
      </c>
      <c r="S25" s="248">
        <f>R25*1</f>
        <v>0</v>
      </c>
      <c r="T25" s="248">
        <f>R25*1.599</f>
        <v>0</v>
      </c>
      <c r="U25" s="303">
        <f>R25*G25</f>
        <v>0</v>
      </c>
    </row>
    <row r="26" spans="2:21" ht="110" customHeight="1" x14ac:dyDescent="0.45">
      <c r="B26" s="255" t="s">
        <v>229</v>
      </c>
      <c r="C26" s="247"/>
      <c r="D26" s="248">
        <v>1</v>
      </c>
      <c r="E26" s="248" t="s">
        <v>279</v>
      </c>
      <c r="F26" s="246" t="s">
        <v>246</v>
      </c>
      <c r="G26" s="292">
        <v>181</v>
      </c>
      <c r="H26" s="263"/>
      <c r="I26" s="266"/>
      <c r="J26" s="269"/>
      <c r="K26" s="272"/>
      <c r="L26" s="275"/>
      <c r="M26" s="278"/>
      <c r="N26" s="281"/>
      <c r="O26" s="284"/>
      <c r="P26" s="287"/>
      <c r="Q26" s="249"/>
      <c r="R26" s="248">
        <f>SUM(H26:Q26)</f>
        <v>0</v>
      </c>
      <c r="S26" s="248">
        <f>R26*1</f>
        <v>0</v>
      </c>
      <c r="T26" s="248">
        <f>R26*1.564</f>
        <v>0</v>
      </c>
      <c r="U26" s="303">
        <f>R26*G26</f>
        <v>0</v>
      </c>
    </row>
    <row r="27" spans="2:21" ht="20" customHeight="1" x14ac:dyDescent="0.45">
      <c r="B27" s="255" t="s">
        <v>256</v>
      </c>
      <c r="C27" s="247"/>
      <c r="D27" s="248">
        <v>3</v>
      </c>
      <c r="E27" s="248"/>
      <c r="F27" s="246" t="s">
        <v>263</v>
      </c>
      <c r="G27" s="292">
        <v>520</v>
      </c>
      <c r="H27" s="263"/>
      <c r="I27" s="266"/>
      <c r="J27" s="269"/>
      <c r="K27" s="272"/>
      <c r="L27" s="275"/>
      <c r="M27" s="278"/>
      <c r="N27" s="281"/>
      <c r="O27" s="284"/>
      <c r="P27" s="287"/>
      <c r="Q27" s="249"/>
      <c r="R27" s="248">
        <f>SUM(H27:Q27)</f>
        <v>0</v>
      </c>
      <c r="S27" s="248">
        <f>R27*D27</f>
        <v>0</v>
      </c>
      <c r="T27" s="248">
        <f>R27*4.718</f>
        <v>0</v>
      </c>
      <c r="U27" s="303">
        <f>R27*G27</f>
        <v>0</v>
      </c>
    </row>
    <row r="28" spans="2:21" s="23" customFormat="1" x14ac:dyDescent="0.45">
      <c r="B28" s="255"/>
      <c r="C28" s="247"/>
      <c r="D28" s="248"/>
      <c r="E28" s="248"/>
      <c r="F28" s="246"/>
      <c r="G28" s="292"/>
      <c r="H28" s="289"/>
      <c r="I28" s="289"/>
      <c r="J28" s="289"/>
      <c r="K28" s="290"/>
      <c r="L28" s="289"/>
      <c r="M28" s="289"/>
      <c r="N28" s="289"/>
      <c r="O28" s="289"/>
      <c r="P28" s="289"/>
      <c r="Q28" s="249"/>
      <c r="R28" s="248"/>
      <c r="S28" s="248"/>
      <c r="T28" s="248"/>
      <c r="U28" s="256"/>
    </row>
    <row r="29" spans="2:21" ht="110" customHeight="1" x14ac:dyDescent="0.45">
      <c r="B29" s="255" t="s">
        <v>230</v>
      </c>
      <c r="C29" s="247"/>
      <c r="D29" s="248">
        <v>1</v>
      </c>
      <c r="E29" s="248" t="s">
        <v>280</v>
      </c>
      <c r="F29" s="246" t="s">
        <v>247</v>
      </c>
      <c r="G29" s="292">
        <v>181</v>
      </c>
      <c r="H29" s="263"/>
      <c r="I29" s="266"/>
      <c r="J29" s="269"/>
      <c r="K29" s="272"/>
      <c r="L29" s="275"/>
      <c r="M29" s="278"/>
      <c r="N29" s="281"/>
      <c r="O29" s="284"/>
      <c r="P29" s="287"/>
      <c r="Q29" s="249"/>
      <c r="R29" s="248">
        <f>SUM(H29:Q29)</f>
        <v>0</v>
      </c>
      <c r="S29" s="248">
        <f>R29*1</f>
        <v>0</v>
      </c>
      <c r="T29" s="248">
        <f>R29*1.357</f>
        <v>0</v>
      </c>
      <c r="U29" s="303">
        <f>R29*G29</f>
        <v>0</v>
      </c>
    </row>
    <row r="30" spans="2:21" ht="110" customHeight="1" x14ac:dyDescent="0.45">
      <c r="B30" s="255" t="s">
        <v>231</v>
      </c>
      <c r="C30" s="247"/>
      <c r="D30" s="248">
        <v>1</v>
      </c>
      <c r="E30" s="248" t="s">
        <v>281</v>
      </c>
      <c r="F30" s="246" t="s">
        <v>248</v>
      </c>
      <c r="G30" s="292">
        <v>194</v>
      </c>
      <c r="H30" s="263"/>
      <c r="I30" s="266"/>
      <c r="J30" s="269"/>
      <c r="K30" s="272"/>
      <c r="L30" s="275"/>
      <c r="M30" s="278"/>
      <c r="N30" s="281"/>
      <c r="O30" s="284"/>
      <c r="P30" s="287"/>
      <c r="Q30" s="249"/>
      <c r="R30" s="248">
        <f>SUM(H30:Q30)</f>
        <v>0</v>
      </c>
      <c r="S30" s="248">
        <f>R30*1</f>
        <v>0</v>
      </c>
      <c r="T30" s="248">
        <f>R30*1.613</f>
        <v>0</v>
      </c>
      <c r="U30" s="303">
        <f>R30*G30</f>
        <v>0</v>
      </c>
    </row>
    <row r="31" spans="2:21" ht="110" customHeight="1" x14ac:dyDescent="0.45">
      <c r="B31" s="255" t="s">
        <v>232</v>
      </c>
      <c r="C31" s="247"/>
      <c r="D31" s="248">
        <v>1</v>
      </c>
      <c r="E31" s="248" t="s">
        <v>282</v>
      </c>
      <c r="F31" s="246" t="s">
        <v>249</v>
      </c>
      <c r="G31" s="292">
        <v>194</v>
      </c>
      <c r="H31" s="263"/>
      <c r="I31" s="266"/>
      <c r="J31" s="269"/>
      <c r="K31" s="272"/>
      <c r="L31" s="275"/>
      <c r="M31" s="278"/>
      <c r="N31" s="281"/>
      <c r="O31" s="284"/>
      <c r="P31" s="287"/>
      <c r="Q31" s="249"/>
      <c r="R31" s="248">
        <f>SUM(H31:Q31)</f>
        <v>0</v>
      </c>
      <c r="S31" s="248">
        <f>R31*1</f>
        <v>0</v>
      </c>
      <c r="T31" s="248">
        <f>R31*1.592</f>
        <v>0</v>
      </c>
      <c r="U31" s="303">
        <f>R31*G31</f>
        <v>0</v>
      </c>
    </row>
    <row r="32" spans="2:21" ht="20" customHeight="1" x14ac:dyDescent="0.45">
      <c r="B32" s="255" t="s">
        <v>257</v>
      </c>
      <c r="C32" s="247"/>
      <c r="D32" s="248">
        <v>3</v>
      </c>
      <c r="E32" s="248"/>
      <c r="F32" s="246" t="s">
        <v>264</v>
      </c>
      <c r="G32" s="292">
        <v>550</v>
      </c>
      <c r="H32" s="263"/>
      <c r="I32" s="266"/>
      <c r="J32" s="269"/>
      <c r="K32" s="272"/>
      <c r="L32" s="275"/>
      <c r="M32" s="278"/>
      <c r="N32" s="281"/>
      <c r="O32" s="284"/>
      <c r="P32" s="287"/>
      <c r="Q32" s="249"/>
      <c r="R32" s="248">
        <f>SUM(H32:Q32)</f>
        <v>0</v>
      </c>
      <c r="S32" s="248">
        <f>R32*D32</f>
        <v>0</v>
      </c>
      <c r="T32" s="248">
        <f>R32*4.562</f>
        <v>0</v>
      </c>
      <c r="U32" s="303">
        <f>R32*G32</f>
        <v>0</v>
      </c>
    </row>
    <row r="33" spans="2:21" s="23" customFormat="1" x14ac:dyDescent="0.45">
      <c r="B33" s="255"/>
      <c r="C33" s="247"/>
      <c r="D33" s="248"/>
      <c r="E33" s="248"/>
      <c r="F33" s="246"/>
      <c r="G33" s="292"/>
      <c r="H33" s="289"/>
      <c r="I33" s="289"/>
      <c r="J33" s="289"/>
      <c r="K33" s="290"/>
      <c r="L33" s="289"/>
      <c r="M33" s="289"/>
      <c r="N33" s="289"/>
      <c r="O33" s="289"/>
      <c r="P33" s="289"/>
      <c r="Q33" s="249"/>
      <c r="R33" s="248"/>
      <c r="S33" s="248"/>
      <c r="T33" s="248"/>
      <c r="U33" s="256"/>
    </row>
    <row r="34" spans="2:21" ht="110" customHeight="1" x14ac:dyDescent="0.45">
      <c r="B34" s="255" t="s">
        <v>233</v>
      </c>
      <c r="C34" s="247"/>
      <c r="D34" s="248">
        <v>1</v>
      </c>
      <c r="E34" s="248" t="s">
        <v>283</v>
      </c>
      <c r="F34" s="246" t="s">
        <v>250</v>
      </c>
      <c r="G34" s="292">
        <v>225</v>
      </c>
      <c r="H34" s="263"/>
      <c r="I34" s="266"/>
      <c r="J34" s="269"/>
      <c r="K34" s="272"/>
      <c r="L34" s="275"/>
      <c r="M34" s="278"/>
      <c r="N34" s="281"/>
      <c r="O34" s="284"/>
      <c r="P34" s="287"/>
      <c r="Q34" s="249"/>
      <c r="R34" s="248">
        <f>SUM(H34:Q34)</f>
        <v>0</v>
      </c>
      <c r="S34" s="248">
        <f>R34*1</f>
        <v>0</v>
      </c>
      <c r="T34" s="248">
        <f>R34*1.884</f>
        <v>0</v>
      </c>
      <c r="U34" s="303">
        <f>R34*G34</f>
        <v>0</v>
      </c>
    </row>
    <row r="35" spans="2:21" ht="110" customHeight="1" x14ac:dyDescent="0.45">
      <c r="B35" s="255" t="s">
        <v>234</v>
      </c>
      <c r="C35" s="247"/>
      <c r="D35" s="248">
        <v>1</v>
      </c>
      <c r="E35" s="248" t="s">
        <v>284</v>
      </c>
      <c r="F35" s="246" t="s">
        <v>251</v>
      </c>
      <c r="G35" s="292">
        <v>212</v>
      </c>
      <c r="H35" s="263"/>
      <c r="I35" s="266"/>
      <c r="J35" s="269"/>
      <c r="K35" s="272"/>
      <c r="L35" s="275"/>
      <c r="M35" s="278"/>
      <c r="N35" s="281"/>
      <c r="O35" s="284"/>
      <c r="P35" s="287"/>
      <c r="Q35" s="249"/>
      <c r="R35" s="248">
        <f>SUM(H35:Q35)</f>
        <v>0</v>
      </c>
      <c r="S35" s="248">
        <f>R35*1</f>
        <v>0</v>
      </c>
      <c r="T35" s="248">
        <f>R35*1.879</f>
        <v>0</v>
      </c>
      <c r="U35" s="303">
        <f>R35*G35</f>
        <v>0</v>
      </c>
    </row>
    <row r="36" spans="2:21" ht="20" customHeight="1" thickBot="1" x14ac:dyDescent="0.5">
      <c r="B36" s="257" t="s">
        <v>258</v>
      </c>
      <c r="C36" s="258"/>
      <c r="D36" s="259">
        <v>2</v>
      </c>
      <c r="E36" s="259"/>
      <c r="F36" s="260" t="s">
        <v>265</v>
      </c>
      <c r="G36" s="293">
        <v>415</v>
      </c>
      <c r="H36" s="264"/>
      <c r="I36" s="267"/>
      <c r="J36" s="270"/>
      <c r="K36" s="273"/>
      <c r="L36" s="276"/>
      <c r="M36" s="279"/>
      <c r="N36" s="282"/>
      <c r="O36" s="285"/>
      <c r="P36" s="288"/>
      <c r="Q36" s="261"/>
      <c r="R36" s="301">
        <f>SUM(H36:Q36)</f>
        <v>0</v>
      </c>
      <c r="S36" s="301">
        <f>R36*D36</f>
        <v>0</v>
      </c>
      <c r="T36" s="301">
        <f>R36*3.763</f>
        <v>0</v>
      </c>
      <c r="U36" s="304">
        <f>R36*G36</f>
        <v>0</v>
      </c>
    </row>
    <row r="37" spans="2:21" ht="14.65" thickBot="1" x14ac:dyDescent="0.5">
      <c r="R37" s="305">
        <f>SUM(R7:R36)</f>
        <v>0</v>
      </c>
      <c r="S37" s="69">
        <f>SUM(S7:S36)</f>
        <v>0</v>
      </c>
      <c r="T37" s="69">
        <f>SUM(T7:T36)</f>
        <v>0</v>
      </c>
      <c r="U37" s="306">
        <f>SUM(U7:U36)</f>
        <v>0</v>
      </c>
    </row>
  </sheetData>
  <sheetProtection algorithmName="SHA-512" hashValue="E1LLiXOd73HuTfRV+C73nf0Zb+YFQphNmPRrJBiODCJt5Tl8jnSHTvBBGHUQ/HK5Eo34FmuJQMl0bs/SlLetSg==" saltValue="SC+aN9ldDPhsPaKZa0MA1Q==" spinCount="100000" sheet="1" objects="1" scenarios="1" selectLockedCells="1"/>
  <mergeCells count="2">
    <mergeCell ref="G2:O3"/>
    <mergeCell ref="E4:Q4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2646-A45C-4D3E-A5B1-73E0038B30E5}">
  <sheetPr>
    <tabColor rgb="FFFFFF00"/>
  </sheetPr>
  <dimension ref="B2:W28"/>
  <sheetViews>
    <sheetView topLeftCell="A16" zoomScale="66" zoomScaleNormal="66" workbookViewId="0">
      <selection activeCell="G26" sqref="G26"/>
    </sheetView>
  </sheetViews>
  <sheetFormatPr defaultRowHeight="14.25" x14ac:dyDescent="0.45"/>
  <cols>
    <col min="2" max="2" width="13.33203125" customWidth="1"/>
    <col min="3" max="3" width="20.06640625" style="23" customWidth="1"/>
    <col min="6" max="6" width="11.6640625" customWidth="1"/>
    <col min="7" max="19" width="10.59765625" customWidth="1"/>
    <col min="23" max="23" width="11.73046875" customWidth="1"/>
  </cols>
  <sheetData>
    <row r="2" spans="2:23" ht="36.4" thickBot="1" x14ac:dyDescent="1.1000000000000001">
      <c r="B2" s="462" t="s">
        <v>39</v>
      </c>
      <c r="C2" s="462"/>
      <c r="D2" s="463"/>
      <c r="E2" s="9"/>
      <c r="F2" s="9"/>
      <c r="G2" s="396" t="s">
        <v>310</v>
      </c>
      <c r="H2" s="397" t="s">
        <v>311</v>
      </c>
      <c r="I2" s="398" t="s">
        <v>312</v>
      </c>
      <c r="J2" s="399" t="s">
        <v>313</v>
      </c>
      <c r="K2" s="400" t="s">
        <v>314</v>
      </c>
      <c r="L2" s="401" t="s">
        <v>315</v>
      </c>
      <c r="M2" s="402" t="s">
        <v>316</v>
      </c>
      <c r="N2" s="403" t="s">
        <v>317</v>
      </c>
      <c r="O2" s="404" t="s">
        <v>318</v>
      </c>
      <c r="P2" s="405" t="s">
        <v>319</v>
      </c>
      <c r="Q2" s="406" t="s">
        <v>320</v>
      </c>
      <c r="R2" s="407" t="s">
        <v>321</v>
      </c>
      <c r="S2" s="408" t="s">
        <v>322</v>
      </c>
      <c r="T2" s="9"/>
      <c r="U2" s="9"/>
      <c r="V2" s="9"/>
      <c r="W2" s="9"/>
    </row>
    <row r="3" spans="2:23" s="23" customFormat="1" ht="15.4" customHeight="1" thickBot="1" x14ac:dyDescent="0.5">
      <c r="B3" s="212" t="s">
        <v>11</v>
      </c>
      <c r="C3" s="213" t="s">
        <v>216</v>
      </c>
      <c r="D3" s="214" t="s">
        <v>12</v>
      </c>
      <c r="E3" s="214" t="s">
        <v>13</v>
      </c>
      <c r="F3" s="214" t="s">
        <v>14</v>
      </c>
      <c r="G3" s="53">
        <v>2</v>
      </c>
      <c r="H3" s="54">
        <v>5</v>
      </c>
      <c r="I3" s="55">
        <v>7</v>
      </c>
      <c r="J3" s="56">
        <v>10</v>
      </c>
      <c r="K3" s="57">
        <v>11</v>
      </c>
      <c r="L3" s="58">
        <v>12</v>
      </c>
      <c r="M3" s="59">
        <v>13</v>
      </c>
      <c r="N3" s="60">
        <v>16</v>
      </c>
      <c r="O3" s="61">
        <v>69</v>
      </c>
      <c r="P3" s="62">
        <v>76</v>
      </c>
      <c r="Q3" s="63">
        <v>77</v>
      </c>
      <c r="R3" s="45">
        <v>79</v>
      </c>
      <c r="S3" s="52">
        <v>81</v>
      </c>
      <c r="T3" s="46" t="s">
        <v>60</v>
      </c>
      <c r="U3" s="46" t="s">
        <v>61</v>
      </c>
      <c r="V3" s="46" t="s">
        <v>59</v>
      </c>
      <c r="W3" s="46" t="s">
        <v>201</v>
      </c>
    </row>
    <row r="4" spans="2:23" ht="14.65" thickBot="1" x14ac:dyDescent="0.5">
      <c r="B4" s="9"/>
      <c r="C4" s="9"/>
      <c r="D4" s="9"/>
      <c r="E4" s="9"/>
      <c r="F4" s="9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9"/>
      <c r="U4" s="9"/>
      <c r="V4" s="9"/>
      <c r="W4" s="9"/>
    </row>
    <row r="5" spans="2:23" ht="110" customHeight="1" x14ac:dyDescent="0.45">
      <c r="B5" s="96" t="s">
        <v>62</v>
      </c>
      <c r="C5" s="93"/>
      <c r="D5" s="100">
        <v>10</v>
      </c>
      <c r="E5" s="100" t="s">
        <v>46</v>
      </c>
      <c r="F5" s="101">
        <v>90</v>
      </c>
      <c r="G5" s="142"/>
      <c r="H5" s="143"/>
      <c r="I5" s="144"/>
      <c r="J5" s="145"/>
      <c r="K5" s="146"/>
      <c r="L5" s="147"/>
      <c r="M5" s="148"/>
      <c r="N5" s="149"/>
      <c r="O5" s="150"/>
      <c r="P5" s="151"/>
      <c r="Q5" s="152"/>
      <c r="R5" s="153"/>
      <c r="S5" s="154"/>
      <c r="T5" s="107">
        <f t="shared" ref="T5:T26" si="0">G5+H5+I5+J5+K5+L5+M5+N5+O5+P5+Q5+R5+S5</f>
        <v>0</v>
      </c>
      <c r="U5" s="107">
        <f t="shared" ref="U5:U27" si="1">T5*D5</f>
        <v>0</v>
      </c>
      <c r="V5" s="117">
        <f>T5*1.12</f>
        <v>0</v>
      </c>
      <c r="W5" s="133">
        <f t="shared" ref="W5:W27" si="2">T5*F5</f>
        <v>0</v>
      </c>
    </row>
    <row r="6" spans="2:23" ht="110" customHeight="1" x14ac:dyDescent="0.45">
      <c r="B6" s="132" t="s">
        <v>69</v>
      </c>
      <c r="C6" s="88"/>
      <c r="D6" s="134">
        <v>10</v>
      </c>
      <c r="E6" s="134" t="s">
        <v>70</v>
      </c>
      <c r="F6" s="135">
        <v>111</v>
      </c>
      <c r="G6" s="194"/>
      <c r="H6" s="195"/>
      <c r="I6" s="196"/>
      <c r="J6" s="197"/>
      <c r="K6" s="198"/>
      <c r="L6" s="199"/>
      <c r="M6" s="200"/>
      <c r="N6" s="201"/>
      <c r="O6" s="202"/>
      <c r="P6" s="203"/>
      <c r="Q6" s="204"/>
      <c r="R6" s="205"/>
      <c r="S6" s="206"/>
      <c r="T6" s="136">
        <f>SUM(G6:S6)</f>
        <v>0</v>
      </c>
      <c r="U6" s="136">
        <f>D6*T6</f>
        <v>0</v>
      </c>
      <c r="V6" s="137">
        <f>T6*1.49</f>
        <v>0</v>
      </c>
      <c r="W6" s="138">
        <f>F6*T6</f>
        <v>0</v>
      </c>
    </row>
    <row r="7" spans="2:23" ht="110" customHeight="1" x14ac:dyDescent="0.45">
      <c r="B7" s="97" t="s">
        <v>63</v>
      </c>
      <c r="C7" s="94"/>
      <c r="D7" s="102">
        <v>10</v>
      </c>
      <c r="E7" s="102" t="s">
        <v>47</v>
      </c>
      <c r="F7" s="103">
        <v>96</v>
      </c>
      <c r="G7" s="155"/>
      <c r="H7" s="156"/>
      <c r="I7" s="157"/>
      <c r="J7" s="158"/>
      <c r="K7" s="159"/>
      <c r="L7" s="160"/>
      <c r="M7" s="161"/>
      <c r="N7" s="162"/>
      <c r="O7" s="163"/>
      <c r="P7" s="164"/>
      <c r="Q7" s="165"/>
      <c r="R7" s="166"/>
      <c r="S7" s="167"/>
      <c r="T7" s="109">
        <f t="shared" si="0"/>
        <v>0</v>
      </c>
      <c r="U7" s="109">
        <f t="shared" si="1"/>
        <v>0</v>
      </c>
      <c r="V7" s="123">
        <f>T7*1.22</f>
        <v>0</v>
      </c>
      <c r="W7" s="139">
        <f t="shared" si="2"/>
        <v>0</v>
      </c>
    </row>
    <row r="8" spans="2:23" ht="110" customHeight="1" x14ac:dyDescent="0.45">
      <c r="B8" s="114" t="s">
        <v>71</v>
      </c>
      <c r="C8" s="89"/>
      <c r="D8" s="118">
        <v>10</v>
      </c>
      <c r="E8" s="118" t="s">
        <v>72</v>
      </c>
      <c r="F8" s="119">
        <v>83</v>
      </c>
      <c r="G8" s="155"/>
      <c r="H8" s="156"/>
      <c r="I8" s="157"/>
      <c r="J8" s="158"/>
      <c r="K8" s="159"/>
      <c r="L8" s="160"/>
      <c r="M8" s="161"/>
      <c r="N8" s="162"/>
      <c r="O8" s="163"/>
      <c r="P8" s="164"/>
      <c r="Q8" s="165"/>
      <c r="R8" s="166"/>
      <c r="S8" s="167"/>
      <c r="T8" s="120">
        <f>SUM(G8:S8)</f>
        <v>0</v>
      </c>
      <c r="U8" s="120">
        <f>D8*T8</f>
        <v>0</v>
      </c>
      <c r="V8" s="121">
        <f>T8*1</f>
        <v>0</v>
      </c>
      <c r="W8" s="140">
        <f>F8*T8</f>
        <v>0</v>
      </c>
    </row>
    <row r="9" spans="2:23" ht="110" customHeight="1" x14ac:dyDescent="0.45">
      <c r="B9" s="97" t="s">
        <v>64</v>
      </c>
      <c r="C9" s="94"/>
      <c r="D9" s="102">
        <v>10</v>
      </c>
      <c r="E9" s="102" t="s">
        <v>48</v>
      </c>
      <c r="F9" s="103">
        <v>193</v>
      </c>
      <c r="G9" s="155"/>
      <c r="H9" s="156"/>
      <c r="I9" s="157"/>
      <c r="J9" s="158"/>
      <c r="K9" s="159"/>
      <c r="L9" s="160"/>
      <c r="M9" s="161"/>
      <c r="N9" s="162"/>
      <c r="O9" s="163"/>
      <c r="P9" s="164"/>
      <c r="Q9" s="165"/>
      <c r="R9" s="166"/>
      <c r="S9" s="167"/>
      <c r="T9" s="109">
        <f t="shared" si="0"/>
        <v>0</v>
      </c>
      <c r="U9" s="109">
        <f t="shared" si="1"/>
        <v>0</v>
      </c>
      <c r="V9" s="123">
        <f>T9*3.1</f>
        <v>0</v>
      </c>
      <c r="W9" s="139">
        <f t="shared" si="2"/>
        <v>0</v>
      </c>
    </row>
    <row r="10" spans="2:23" ht="110" customHeight="1" x14ac:dyDescent="0.45">
      <c r="B10" s="114" t="s">
        <v>73</v>
      </c>
      <c r="C10" s="89"/>
      <c r="D10" s="118">
        <v>5</v>
      </c>
      <c r="E10" s="118" t="s">
        <v>74</v>
      </c>
      <c r="F10" s="119">
        <v>75</v>
      </c>
      <c r="G10" s="155"/>
      <c r="H10" s="156"/>
      <c r="I10" s="157"/>
      <c r="J10" s="158"/>
      <c r="K10" s="159"/>
      <c r="L10" s="160"/>
      <c r="M10" s="161"/>
      <c r="N10" s="162"/>
      <c r="O10" s="163"/>
      <c r="P10" s="164"/>
      <c r="Q10" s="165"/>
      <c r="R10" s="166"/>
      <c r="S10" s="167"/>
      <c r="T10" s="120">
        <f>SUM(G10:S10)</f>
        <v>0</v>
      </c>
      <c r="U10" s="120">
        <f>D10*T10</f>
        <v>0</v>
      </c>
      <c r="V10" s="121">
        <f>T10*1.13</f>
        <v>0</v>
      </c>
      <c r="W10" s="140">
        <f>F10*T10</f>
        <v>0</v>
      </c>
    </row>
    <row r="11" spans="2:23" ht="110" customHeight="1" x14ac:dyDescent="0.45">
      <c r="B11" s="97" t="s">
        <v>77</v>
      </c>
      <c r="C11" s="94"/>
      <c r="D11" s="102">
        <v>5</v>
      </c>
      <c r="E11" s="102" t="s">
        <v>49</v>
      </c>
      <c r="F11" s="103">
        <v>243</v>
      </c>
      <c r="G11" s="155"/>
      <c r="H11" s="156"/>
      <c r="I11" s="157"/>
      <c r="J11" s="158"/>
      <c r="K11" s="159"/>
      <c r="L11" s="160"/>
      <c r="M11" s="161"/>
      <c r="N11" s="162"/>
      <c r="O11" s="163"/>
      <c r="P11" s="164"/>
      <c r="Q11" s="165"/>
      <c r="R11" s="166"/>
      <c r="S11" s="167"/>
      <c r="T11" s="109">
        <f t="shared" si="0"/>
        <v>0</v>
      </c>
      <c r="U11" s="109">
        <f t="shared" si="1"/>
        <v>0</v>
      </c>
      <c r="V11" s="123">
        <f>T11*4.25</f>
        <v>0</v>
      </c>
      <c r="W11" s="139">
        <f t="shared" si="2"/>
        <v>0</v>
      </c>
    </row>
    <row r="12" spans="2:23" ht="110" customHeight="1" x14ac:dyDescent="0.45">
      <c r="B12" s="114" t="s">
        <v>76</v>
      </c>
      <c r="C12" s="89"/>
      <c r="D12" s="118">
        <v>5</v>
      </c>
      <c r="E12" s="118" t="s">
        <v>75</v>
      </c>
      <c r="F12" s="119">
        <v>176</v>
      </c>
      <c r="G12" s="155"/>
      <c r="H12" s="156"/>
      <c r="I12" s="157"/>
      <c r="J12" s="158"/>
      <c r="K12" s="159"/>
      <c r="L12" s="160"/>
      <c r="M12" s="161"/>
      <c r="N12" s="162"/>
      <c r="O12" s="163"/>
      <c r="P12" s="164"/>
      <c r="Q12" s="165"/>
      <c r="R12" s="166"/>
      <c r="S12" s="167"/>
      <c r="T12" s="120">
        <f>SUM(G12:S12)</f>
        <v>0</v>
      </c>
      <c r="U12" s="120">
        <f>D12*T12</f>
        <v>0</v>
      </c>
      <c r="V12" s="121">
        <f>T12*1.77</f>
        <v>0</v>
      </c>
      <c r="W12" s="140">
        <f>F12*T12</f>
        <v>0</v>
      </c>
    </row>
    <row r="13" spans="2:23" ht="110" customHeight="1" x14ac:dyDescent="0.45">
      <c r="B13" s="114" t="s">
        <v>78</v>
      </c>
      <c r="C13" s="89"/>
      <c r="D13" s="118">
        <v>5</v>
      </c>
      <c r="E13" s="118" t="s">
        <v>79</v>
      </c>
      <c r="F13" s="119">
        <v>224</v>
      </c>
      <c r="G13" s="155"/>
      <c r="H13" s="156"/>
      <c r="I13" s="157"/>
      <c r="J13" s="158"/>
      <c r="K13" s="159"/>
      <c r="L13" s="160"/>
      <c r="M13" s="161"/>
      <c r="N13" s="162"/>
      <c r="O13" s="163"/>
      <c r="P13" s="164"/>
      <c r="Q13" s="165"/>
      <c r="R13" s="166"/>
      <c r="S13" s="167"/>
      <c r="T13" s="120">
        <f>SUM(G13:S13)</f>
        <v>0</v>
      </c>
      <c r="U13" s="120">
        <f>D13*T13</f>
        <v>0</v>
      </c>
      <c r="V13" s="121">
        <f>T13*2.53</f>
        <v>0</v>
      </c>
      <c r="W13" s="140">
        <f>F13*T13</f>
        <v>0</v>
      </c>
    </row>
    <row r="14" spans="2:23" ht="110" customHeight="1" x14ac:dyDescent="0.45">
      <c r="B14" s="97" t="s">
        <v>80</v>
      </c>
      <c r="C14" s="94"/>
      <c r="D14" s="102">
        <v>10</v>
      </c>
      <c r="E14" s="102" t="s">
        <v>50</v>
      </c>
      <c r="F14" s="103">
        <v>131</v>
      </c>
      <c r="G14" s="155"/>
      <c r="H14" s="156"/>
      <c r="I14" s="157"/>
      <c r="J14" s="158"/>
      <c r="K14" s="207"/>
      <c r="L14" s="160"/>
      <c r="M14" s="161"/>
      <c r="N14" s="162"/>
      <c r="O14" s="163"/>
      <c r="P14" s="164"/>
      <c r="Q14" s="165"/>
      <c r="R14" s="166"/>
      <c r="S14" s="167"/>
      <c r="T14" s="109">
        <f t="shared" si="0"/>
        <v>0</v>
      </c>
      <c r="U14" s="109">
        <f t="shared" si="1"/>
        <v>0</v>
      </c>
      <c r="V14" s="123">
        <f>T14*1.86</f>
        <v>0</v>
      </c>
      <c r="W14" s="139">
        <f t="shared" si="2"/>
        <v>0</v>
      </c>
    </row>
    <row r="15" spans="2:23" ht="110" customHeight="1" x14ac:dyDescent="0.45">
      <c r="B15" s="114" t="s">
        <v>81</v>
      </c>
      <c r="C15" s="89"/>
      <c r="D15" s="118">
        <v>10</v>
      </c>
      <c r="E15" s="118" t="s">
        <v>82</v>
      </c>
      <c r="F15" s="119">
        <v>148</v>
      </c>
      <c r="G15" s="155"/>
      <c r="H15" s="156"/>
      <c r="I15" s="157"/>
      <c r="J15" s="158"/>
      <c r="K15" s="207"/>
      <c r="L15" s="160"/>
      <c r="M15" s="161"/>
      <c r="N15" s="162"/>
      <c r="O15" s="163"/>
      <c r="P15" s="164"/>
      <c r="Q15" s="165"/>
      <c r="R15" s="166"/>
      <c r="S15" s="167"/>
      <c r="T15" s="120">
        <f>SUM(G15:S15)</f>
        <v>0</v>
      </c>
      <c r="U15" s="120">
        <f>D15*T15</f>
        <v>0</v>
      </c>
      <c r="V15" s="121">
        <f>T15*2.2</f>
        <v>0</v>
      </c>
      <c r="W15" s="140">
        <f>F15*T15</f>
        <v>0</v>
      </c>
    </row>
    <row r="16" spans="2:23" ht="110" customHeight="1" x14ac:dyDescent="0.45">
      <c r="B16" s="114" t="s">
        <v>83</v>
      </c>
      <c r="C16" s="89"/>
      <c r="D16" s="118">
        <v>10</v>
      </c>
      <c r="E16" s="118" t="s">
        <v>84</v>
      </c>
      <c r="F16" s="119">
        <v>191</v>
      </c>
      <c r="G16" s="155"/>
      <c r="H16" s="156"/>
      <c r="I16" s="157"/>
      <c r="J16" s="158"/>
      <c r="K16" s="207"/>
      <c r="L16" s="160"/>
      <c r="M16" s="161"/>
      <c r="N16" s="162"/>
      <c r="O16" s="163"/>
      <c r="P16" s="164"/>
      <c r="Q16" s="165"/>
      <c r="R16" s="166"/>
      <c r="S16" s="167"/>
      <c r="T16" s="120">
        <f>SUM(G16:S16)</f>
        <v>0</v>
      </c>
      <c r="U16" s="120">
        <f>D16*T16</f>
        <v>0</v>
      </c>
      <c r="V16" s="121">
        <f>T16*3</f>
        <v>0</v>
      </c>
      <c r="W16" s="140">
        <f>F16*T16</f>
        <v>0</v>
      </c>
    </row>
    <row r="17" spans="2:23" ht="110" customHeight="1" x14ac:dyDescent="0.45">
      <c r="B17" s="114" t="s">
        <v>85</v>
      </c>
      <c r="C17" s="89"/>
      <c r="D17" s="118">
        <v>10</v>
      </c>
      <c r="E17" s="118" t="s">
        <v>86</v>
      </c>
      <c r="F17" s="119">
        <v>192</v>
      </c>
      <c r="G17" s="155"/>
      <c r="H17" s="156"/>
      <c r="I17" s="157"/>
      <c r="J17" s="158"/>
      <c r="K17" s="207"/>
      <c r="L17" s="160"/>
      <c r="M17" s="161"/>
      <c r="N17" s="162"/>
      <c r="O17" s="163"/>
      <c r="P17" s="164"/>
      <c r="Q17" s="165"/>
      <c r="R17" s="166"/>
      <c r="S17" s="167"/>
      <c r="T17" s="120">
        <f>SUM(G17:S17)</f>
        <v>0</v>
      </c>
      <c r="U17" s="120">
        <f>D17*T17</f>
        <v>0</v>
      </c>
      <c r="V17" s="121">
        <f>T17*3.1</f>
        <v>0</v>
      </c>
      <c r="W17" s="140">
        <f>F17*T17</f>
        <v>0</v>
      </c>
    </row>
    <row r="18" spans="2:23" ht="110" customHeight="1" x14ac:dyDescent="0.45">
      <c r="B18" s="114" t="s">
        <v>87</v>
      </c>
      <c r="C18" s="89"/>
      <c r="D18" s="118">
        <v>10</v>
      </c>
      <c r="E18" s="118" t="s">
        <v>88</v>
      </c>
      <c r="F18" s="119">
        <v>220</v>
      </c>
      <c r="G18" s="155"/>
      <c r="H18" s="156"/>
      <c r="I18" s="157"/>
      <c r="J18" s="158"/>
      <c r="K18" s="207"/>
      <c r="L18" s="160"/>
      <c r="M18" s="161"/>
      <c r="N18" s="162"/>
      <c r="O18" s="163"/>
      <c r="P18" s="164"/>
      <c r="Q18" s="165"/>
      <c r="R18" s="166"/>
      <c r="S18" s="167"/>
      <c r="T18" s="120">
        <f>SUM(G18:S18)</f>
        <v>0</v>
      </c>
      <c r="U18" s="120">
        <f>D18*T18</f>
        <v>0</v>
      </c>
      <c r="V18" s="121">
        <f>T18*3.53</f>
        <v>0</v>
      </c>
      <c r="W18" s="140">
        <f>F18*T18</f>
        <v>0</v>
      </c>
    </row>
    <row r="19" spans="2:23" ht="110" customHeight="1" x14ac:dyDescent="0.45">
      <c r="B19" s="97" t="s">
        <v>65</v>
      </c>
      <c r="C19" s="94"/>
      <c r="D19" s="102">
        <v>10</v>
      </c>
      <c r="E19" s="102" t="s">
        <v>51</v>
      </c>
      <c r="F19" s="103">
        <v>268</v>
      </c>
      <c r="G19" s="155"/>
      <c r="H19" s="156"/>
      <c r="I19" s="157"/>
      <c r="J19" s="158"/>
      <c r="K19" s="207"/>
      <c r="L19" s="160"/>
      <c r="M19" s="161"/>
      <c r="N19" s="162"/>
      <c r="O19" s="163"/>
      <c r="P19" s="164"/>
      <c r="Q19" s="165"/>
      <c r="R19" s="166"/>
      <c r="S19" s="167"/>
      <c r="T19" s="109">
        <f t="shared" si="0"/>
        <v>0</v>
      </c>
      <c r="U19" s="109">
        <f t="shared" si="1"/>
        <v>0</v>
      </c>
      <c r="V19" s="123">
        <f>T19*2.49</f>
        <v>0</v>
      </c>
      <c r="W19" s="139">
        <f t="shared" si="2"/>
        <v>0</v>
      </c>
    </row>
    <row r="20" spans="2:23" ht="110" customHeight="1" x14ac:dyDescent="0.45">
      <c r="B20" s="97" t="s">
        <v>41</v>
      </c>
      <c r="C20" s="94"/>
      <c r="D20" s="102">
        <v>10</v>
      </c>
      <c r="E20" s="102" t="s">
        <v>52</v>
      </c>
      <c r="F20" s="103">
        <v>350</v>
      </c>
      <c r="G20" s="155"/>
      <c r="H20" s="156"/>
      <c r="I20" s="157"/>
      <c r="J20" s="158"/>
      <c r="K20" s="207"/>
      <c r="L20" s="160"/>
      <c r="M20" s="161"/>
      <c r="N20" s="162"/>
      <c r="O20" s="163"/>
      <c r="P20" s="164"/>
      <c r="Q20" s="165"/>
      <c r="R20" s="166"/>
      <c r="S20" s="167"/>
      <c r="T20" s="109">
        <f t="shared" si="0"/>
        <v>0</v>
      </c>
      <c r="U20" s="109">
        <f t="shared" si="1"/>
        <v>0</v>
      </c>
      <c r="V20" s="123">
        <f>T20*4.42</f>
        <v>0</v>
      </c>
      <c r="W20" s="139">
        <f t="shared" si="2"/>
        <v>0</v>
      </c>
    </row>
    <row r="21" spans="2:23" ht="110" customHeight="1" x14ac:dyDescent="0.45">
      <c r="B21" s="97" t="s">
        <v>40</v>
      </c>
      <c r="C21" s="94"/>
      <c r="D21" s="102">
        <v>10</v>
      </c>
      <c r="E21" s="102" t="s">
        <v>53</v>
      </c>
      <c r="F21" s="103">
        <v>328</v>
      </c>
      <c r="G21" s="155"/>
      <c r="H21" s="156"/>
      <c r="I21" s="157"/>
      <c r="J21" s="158"/>
      <c r="K21" s="207"/>
      <c r="L21" s="160"/>
      <c r="M21" s="161"/>
      <c r="N21" s="162"/>
      <c r="O21" s="163"/>
      <c r="P21" s="164"/>
      <c r="Q21" s="165"/>
      <c r="R21" s="166"/>
      <c r="S21" s="167"/>
      <c r="T21" s="109">
        <f t="shared" si="0"/>
        <v>0</v>
      </c>
      <c r="U21" s="109">
        <f t="shared" si="1"/>
        <v>0</v>
      </c>
      <c r="V21" s="123">
        <f>T21*3.4</f>
        <v>0</v>
      </c>
      <c r="W21" s="139">
        <f t="shared" si="2"/>
        <v>0</v>
      </c>
    </row>
    <row r="22" spans="2:23" ht="110" customHeight="1" x14ac:dyDescent="0.45">
      <c r="B22" s="114" t="s">
        <v>66</v>
      </c>
      <c r="C22" s="89"/>
      <c r="D22" s="118">
        <v>10</v>
      </c>
      <c r="E22" s="118" t="s">
        <v>54</v>
      </c>
      <c r="F22" s="119">
        <v>385</v>
      </c>
      <c r="G22" s="208"/>
      <c r="H22" s="156"/>
      <c r="I22" s="157"/>
      <c r="J22" s="158"/>
      <c r="K22" s="207"/>
      <c r="L22" s="160"/>
      <c r="M22" s="161"/>
      <c r="N22" s="162"/>
      <c r="O22" s="163"/>
      <c r="P22" s="164"/>
      <c r="Q22" s="165"/>
      <c r="R22" s="166"/>
      <c r="S22" s="167"/>
      <c r="T22" s="120">
        <f>G23+H22+I22+J22+K22+L22+M22+N22+O22+P22+Q22+R22+S22</f>
        <v>0</v>
      </c>
      <c r="U22" s="120">
        <f t="shared" si="1"/>
        <v>0</v>
      </c>
      <c r="V22" s="121">
        <f>T22*5.7</f>
        <v>0</v>
      </c>
      <c r="W22" s="140">
        <f t="shared" si="2"/>
        <v>0</v>
      </c>
    </row>
    <row r="23" spans="2:23" ht="110" customHeight="1" x14ac:dyDescent="0.45">
      <c r="B23" s="114" t="s">
        <v>42</v>
      </c>
      <c r="C23" s="89"/>
      <c r="D23" s="118">
        <v>5</v>
      </c>
      <c r="E23" s="118" t="s">
        <v>55</v>
      </c>
      <c r="F23" s="119">
        <v>280</v>
      </c>
      <c r="G23" s="155"/>
      <c r="H23" s="156"/>
      <c r="I23" s="157"/>
      <c r="J23" s="158"/>
      <c r="K23" s="159"/>
      <c r="L23" s="160"/>
      <c r="M23" s="161"/>
      <c r="N23" s="162"/>
      <c r="O23" s="163"/>
      <c r="P23" s="164"/>
      <c r="Q23" s="165"/>
      <c r="R23" s="166"/>
      <c r="S23" s="167"/>
      <c r="T23" s="120">
        <f>G23+H23+I23+J23+K23+L23+M23+N23+O23+P23+Q23+R23+S23</f>
        <v>0</v>
      </c>
      <c r="U23" s="120">
        <f t="shared" si="1"/>
        <v>0</v>
      </c>
      <c r="V23" s="121">
        <f>T23*2.4</f>
        <v>0</v>
      </c>
      <c r="W23" s="140">
        <f t="shared" si="2"/>
        <v>0</v>
      </c>
    </row>
    <row r="24" spans="2:23" ht="110" customHeight="1" x14ac:dyDescent="0.45">
      <c r="B24" s="114" t="s">
        <v>43</v>
      </c>
      <c r="C24" s="89"/>
      <c r="D24" s="118">
        <v>5</v>
      </c>
      <c r="E24" s="118" t="s">
        <v>56</v>
      </c>
      <c r="F24" s="119">
        <v>350</v>
      </c>
      <c r="G24" s="155"/>
      <c r="H24" s="156"/>
      <c r="I24" s="157"/>
      <c r="J24" s="158"/>
      <c r="K24" s="159"/>
      <c r="L24" s="160"/>
      <c r="M24" s="161"/>
      <c r="N24" s="162"/>
      <c r="O24" s="163"/>
      <c r="P24" s="164"/>
      <c r="Q24" s="165"/>
      <c r="R24" s="166"/>
      <c r="S24" s="167"/>
      <c r="T24" s="120">
        <f t="shared" si="0"/>
        <v>0</v>
      </c>
      <c r="U24" s="120">
        <f t="shared" si="1"/>
        <v>0</v>
      </c>
      <c r="V24" s="121"/>
      <c r="W24" s="140">
        <f t="shared" si="2"/>
        <v>0</v>
      </c>
    </row>
    <row r="25" spans="2:23" ht="110" customHeight="1" x14ac:dyDescent="0.45">
      <c r="B25" s="114" t="s">
        <v>44</v>
      </c>
      <c r="C25" s="89"/>
      <c r="D25" s="118">
        <v>5</v>
      </c>
      <c r="E25" s="118" t="s">
        <v>57</v>
      </c>
      <c r="F25" s="119">
        <v>475</v>
      </c>
      <c r="G25" s="155"/>
      <c r="H25" s="156"/>
      <c r="I25" s="157"/>
      <c r="J25" s="158"/>
      <c r="K25" s="159"/>
      <c r="L25" s="160"/>
      <c r="M25" s="161"/>
      <c r="N25" s="162"/>
      <c r="O25" s="163"/>
      <c r="P25" s="164"/>
      <c r="Q25" s="165"/>
      <c r="R25" s="166"/>
      <c r="S25" s="167"/>
      <c r="T25" s="120">
        <f t="shared" si="0"/>
        <v>0</v>
      </c>
      <c r="U25" s="120">
        <f t="shared" si="1"/>
        <v>0</v>
      </c>
      <c r="V25" s="121"/>
      <c r="W25" s="140">
        <f t="shared" si="2"/>
        <v>0</v>
      </c>
    </row>
    <row r="26" spans="2:23" ht="110" customHeight="1" x14ac:dyDescent="0.45">
      <c r="B26" s="114" t="s">
        <v>45</v>
      </c>
      <c r="C26" s="89"/>
      <c r="D26" s="118">
        <v>1</v>
      </c>
      <c r="E26" s="118" t="s">
        <v>58</v>
      </c>
      <c r="F26" s="119">
        <v>158</v>
      </c>
      <c r="G26" s="155"/>
      <c r="H26" s="156"/>
      <c r="I26" s="157"/>
      <c r="J26" s="158"/>
      <c r="K26" s="159"/>
      <c r="L26" s="160"/>
      <c r="M26" s="161"/>
      <c r="N26" s="162"/>
      <c r="O26" s="163"/>
      <c r="P26" s="164"/>
      <c r="Q26" s="165"/>
      <c r="R26" s="166"/>
      <c r="S26" s="167"/>
      <c r="T26" s="120">
        <f t="shared" si="0"/>
        <v>0</v>
      </c>
      <c r="U26" s="120">
        <f t="shared" si="1"/>
        <v>0</v>
      </c>
      <c r="V26" s="121">
        <f>T26*2.35</f>
        <v>0</v>
      </c>
      <c r="W26" s="140">
        <f t="shared" si="2"/>
        <v>0</v>
      </c>
    </row>
    <row r="27" spans="2:23" ht="110" customHeight="1" thickBot="1" x14ac:dyDescent="0.5">
      <c r="B27" s="99" t="s">
        <v>196</v>
      </c>
      <c r="C27" s="90"/>
      <c r="D27" s="105">
        <v>1</v>
      </c>
      <c r="E27" s="105" t="s">
        <v>197</v>
      </c>
      <c r="F27" s="106">
        <v>213</v>
      </c>
      <c r="G27" s="168"/>
      <c r="H27" s="169"/>
      <c r="I27" s="170"/>
      <c r="J27" s="171"/>
      <c r="K27" s="172"/>
      <c r="L27" s="173"/>
      <c r="M27" s="174"/>
      <c r="N27" s="175"/>
      <c r="O27" s="176"/>
      <c r="P27" s="177"/>
      <c r="Q27" s="178"/>
      <c r="R27" s="179"/>
      <c r="S27" s="180"/>
      <c r="T27" s="112">
        <f>SUM(G27:S27)</f>
        <v>0</v>
      </c>
      <c r="U27" s="112">
        <f t="shared" si="1"/>
        <v>0</v>
      </c>
      <c r="V27" s="112">
        <f>T27*3.23</f>
        <v>0</v>
      </c>
      <c r="W27" s="141">
        <f t="shared" si="2"/>
        <v>0</v>
      </c>
    </row>
    <row r="28" spans="2:23" x14ac:dyDescent="0.45">
      <c r="B28" s="22"/>
      <c r="C28" s="86"/>
      <c r="D28" s="22"/>
      <c r="E28" s="22"/>
      <c r="F28" s="10"/>
      <c r="G28" s="16">
        <f t="shared" ref="G28:W28" si="3">SUM(G5:G27)</f>
        <v>0</v>
      </c>
      <c r="H28" s="16">
        <f t="shared" si="3"/>
        <v>0</v>
      </c>
      <c r="I28" s="16">
        <f t="shared" si="3"/>
        <v>0</v>
      </c>
      <c r="J28" s="211">
        <f t="shared" si="3"/>
        <v>0</v>
      </c>
      <c r="K28" s="16">
        <f t="shared" si="3"/>
        <v>0</v>
      </c>
      <c r="L28" s="16">
        <f t="shared" si="3"/>
        <v>0</v>
      </c>
      <c r="M28" s="16">
        <f t="shared" si="3"/>
        <v>0</v>
      </c>
      <c r="N28" s="16">
        <f t="shared" si="3"/>
        <v>0</v>
      </c>
      <c r="O28" s="16">
        <f t="shared" si="3"/>
        <v>0</v>
      </c>
      <c r="P28" s="16">
        <f t="shared" si="3"/>
        <v>0</v>
      </c>
      <c r="Q28" s="16">
        <f t="shared" si="3"/>
        <v>0</v>
      </c>
      <c r="R28" s="16">
        <f t="shared" si="3"/>
        <v>0</v>
      </c>
      <c r="S28" s="16">
        <f t="shared" si="3"/>
        <v>0</v>
      </c>
      <c r="T28" s="16">
        <f t="shared" si="3"/>
        <v>0</v>
      </c>
      <c r="U28" s="16">
        <f t="shared" si="3"/>
        <v>0</v>
      </c>
      <c r="V28" s="16">
        <f t="shared" si="3"/>
        <v>0</v>
      </c>
      <c r="W28" s="25">
        <f t="shared" si="3"/>
        <v>0</v>
      </c>
    </row>
  </sheetData>
  <sheetProtection algorithmName="SHA-512" hashValue="N8q5eMRe1/BH2Kc6ilBWNzpQTZU4I6iNPF9AhrD6LMHJZV1I2JtWgpWKJyVPCUh8/cREKkapxxEcGfYkBVve3A==" saltValue="+apSrM876GPy0Smfnj4eLg==" spinCount="100000" sheet="1" objects="1" scenarios="1" selectLockedCells="1"/>
  <mergeCells count="1">
    <mergeCell ref="B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LOAVES</vt:lpstr>
      <vt:lpstr>ROUGHLINE</vt:lpstr>
      <vt:lpstr>TOTALS</vt:lpstr>
      <vt:lpstr>SMOOTHLINE</vt:lpstr>
      <vt:lpstr>ECLIPSE</vt:lpstr>
      <vt:lpstr>FIBERGLASS</vt:lpstr>
      <vt:lpstr>DRIFTS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Watkins</dc:creator>
  <cp:lastModifiedBy>William Watkins</cp:lastModifiedBy>
  <cp:lastPrinted>2021-06-03T23:44:13Z</cp:lastPrinted>
  <dcterms:created xsi:type="dcterms:W3CDTF">2020-02-09T07:20:57Z</dcterms:created>
  <dcterms:modified xsi:type="dcterms:W3CDTF">2021-11-29T08:50:03Z</dcterms:modified>
</cp:coreProperties>
</file>