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nlea\Documents\Unleashed Europe\"/>
    </mc:Choice>
  </mc:AlternateContent>
  <xr:revisionPtr revIDLastSave="0" documentId="13_ncr:1_{0F7C1FFC-8D12-47FD-9008-B6189122C0BC}" xr6:coauthVersionLast="47" xr6:coauthVersionMax="47" xr10:uidLastSave="{00000000-0000-0000-0000-000000000000}"/>
  <bookViews>
    <workbookView xWindow="-98" yWindow="-98" windowWidth="20715" windowHeight="13276" activeTab="5" xr2:uid="{06EDCEEA-A24B-4FBA-96F5-FC0CF9EF6C99}"/>
  </bookViews>
  <sheets>
    <sheet name="LOAVES" sheetId="6" r:id="rId1"/>
    <sheet name="ROUGHLINE" sheetId="7" r:id="rId2"/>
    <sheet name="SMOOTHLINE" sheetId="8" r:id="rId3"/>
    <sheet name="TOTALS" sheetId="2" r:id="rId4"/>
    <sheet name="ECLIPSE" sheetId="3" r:id="rId5"/>
    <sheet name="FIBERGLASS" sheetId="9" r:id="rId6"/>
    <sheet name="DRIFTS" sheetId="5" r:id="rId7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7" i="2" l="1"/>
  <c r="R26" i="2"/>
  <c r="Q25" i="2"/>
  <c r="Q21" i="2"/>
  <c r="R21" i="2"/>
  <c r="S21" i="2"/>
  <c r="U30" i="9"/>
  <c r="U29" i="9"/>
  <c r="U27" i="9"/>
  <c r="U26" i="9"/>
  <c r="U25" i="9"/>
  <c r="U24" i="9"/>
  <c r="U22" i="9"/>
  <c r="U21" i="9"/>
  <c r="U20" i="9"/>
  <c r="U19" i="9"/>
  <c r="U17" i="9"/>
  <c r="U16" i="9"/>
  <c r="U15" i="9"/>
  <c r="U13" i="9"/>
  <c r="U12" i="9"/>
  <c r="U11" i="9"/>
  <c r="U9" i="9"/>
  <c r="U8" i="9"/>
  <c r="U7" i="9"/>
  <c r="S31" i="9"/>
  <c r="S30" i="9"/>
  <c r="S29" i="9"/>
  <c r="S26" i="9"/>
  <c r="S25" i="9"/>
  <c r="S24" i="9"/>
  <c r="S21" i="9"/>
  <c r="S20" i="9"/>
  <c r="S19" i="9"/>
  <c r="S16" i="9"/>
  <c r="S15" i="9"/>
  <c r="S12" i="9"/>
  <c r="S11" i="9"/>
  <c r="S8" i="9"/>
  <c r="S7" i="9"/>
  <c r="T31" i="9"/>
  <c r="T29" i="9"/>
  <c r="T27" i="9"/>
  <c r="T26" i="9"/>
  <c r="T25" i="9"/>
  <c r="T24" i="9"/>
  <c r="T22" i="9"/>
  <c r="T21" i="9"/>
  <c r="T20" i="9"/>
  <c r="T19" i="9"/>
  <c r="T17" i="9"/>
  <c r="T16" i="9"/>
  <c r="T15" i="9"/>
  <c r="T13" i="9"/>
  <c r="T12" i="9"/>
  <c r="T11" i="9"/>
  <c r="T9" i="9"/>
  <c r="T8" i="9"/>
  <c r="T7" i="9"/>
  <c r="S27" i="9"/>
  <c r="S22" i="9"/>
  <c r="S17" i="9"/>
  <c r="S13" i="9"/>
  <c r="S9" i="9"/>
  <c r="R36" i="9"/>
  <c r="U36" i="9" s="1"/>
  <c r="R35" i="9"/>
  <c r="U35" i="9" s="1"/>
  <c r="R34" i="9"/>
  <c r="S34" i="9" s="1"/>
  <c r="R32" i="9"/>
  <c r="S32" i="9" s="1"/>
  <c r="R31" i="9"/>
  <c r="U31" i="9" s="1"/>
  <c r="R30" i="9"/>
  <c r="T30" i="9" s="1"/>
  <c r="R29" i="9"/>
  <c r="R27" i="9"/>
  <c r="R26" i="9"/>
  <c r="R25" i="9"/>
  <c r="R24" i="9"/>
  <c r="R22" i="9"/>
  <c r="R21" i="9"/>
  <c r="R20" i="9"/>
  <c r="R19" i="9"/>
  <c r="R17" i="9"/>
  <c r="R16" i="9"/>
  <c r="R15" i="9"/>
  <c r="R13" i="9"/>
  <c r="R12" i="9"/>
  <c r="R11" i="9"/>
  <c r="R9" i="9"/>
  <c r="R8" i="9"/>
  <c r="R7" i="9"/>
  <c r="V25" i="7"/>
  <c r="V13" i="7"/>
  <c r="V9" i="7"/>
  <c r="V6" i="7"/>
  <c r="V18" i="6"/>
  <c r="V23" i="8"/>
  <c r="U23" i="8"/>
  <c r="T23" i="8"/>
  <c r="S23" i="8"/>
  <c r="U10" i="8"/>
  <c r="V27" i="5"/>
  <c r="V22" i="8"/>
  <c r="U22" i="8"/>
  <c r="T22" i="8"/>
  <c r="S22" i="8"/>
  <c r="V10" i="8"/>
  <c r="V9" i="8"/>
  <c r="V8" i="8"/>
  <c r="U9" i="8"/>
  <c r="U8" i="8"/>
  <c r="T10" i="8"/>
  <c r="T9" i="8"/>
  <c r="T8" i="8"/>
  <c r="S10" i="8"/>
  <c r="S9" i="8"/>
  <c r="S8" i="8"/>
  <c r="W9" i="7"/>
  <c r="W6" i="7"/>
  <c r="W28" i="7"/>
  <c r="W27" i="7"/>
  <c r="W26" i="7"/>
  <c r="W25" i="7"/>
  <c r="W23" i="7"/>
  <c r="W21" i="7"/>
  <c r="W19" i="7"/>
  <c r="W18" i="7"/>
  <c r="W16" i="7"/>
  <c r="W15" i="7"/>
  <c r="W14" i="7"/>
  <c r="W13" i="7"/>
  <c r="W11" i="7"/>
  <c r="W10" i="7"/>
  <c r="W7" i="7"/>
  <c r="V28" i="7"/>
  <c r="V27" i="7"/>
  <c r="V26" i="7"/>
  <c r="V19" i="7"/>
  <c r="V18" i="7"/>
  <c r="V15" i="7"/>
  <c r="V14" i="7"/>
  <c r="V11" i="7"/>
  <c r="V10" i="7"/>
  <c r="V7" i="7"/>
  <c r="U28" i="7"/>
  <c r="U27" i="7"/>
  <c r="U26" i="7"/>
  <c r="U25" i="7"/>
  <c r="U23" i="7"/>
  <c r="U21" i="7"/>
  <c r="U19" i="7"/>
  <c r="U18" i="7"/>
  <c r="U16" i="7"/>
  <c r="U15" i="7"/>
  <c r="U14" i="7"/>
  <c r="U13" i="7"/>
  <c r="U11" i="7"/>
  <c r="U10" i="7"/>
  <c r="U9" i="7"/>
  <c r="U7" i="7"/>
  <c r="U6" i="7"/>
  <c r="T27" i="7"/>
  <c r="T26" i="7"/>
  <c r="T25" i="7"/>
  <c r="T23" i="7"/>
  <c r="T21" i="7"/>
  <c r="T19" i="7"/>
  <c r="T18" i="7"/>
  <c r="T16" i="7"/>
  <c r="T15" i="7"/>
  <c r="T14" i="7"/>
  <c r="T13" i="7"/>
  <c r="T11" i="7"/>
  <c r="T10" i="7"/>
  <c r="T9" i="7"/>
  <c r="T7" i="7"/>
  <c r="T6" i="7"/>
  <c r="T28" i="7"/>
  <c r="K30" i="8"/>
  <c r="O30" i="8"/>
  <c r="T35" i="9" l="1"/>
  <c r="S35" i="9"/>
  <c r="S37" i="9" s="1"/>
  <c r="S36" i="9"/>
  <c r="T36" i="9"/>
  <c r="U32" i="9"/>
  <c r="U34" i="9"/>
  <c r="T34" i="9"/>
  <c r="R37" i="9"/>
  <c r="T32" i="9"/>
  <c r="S29" i="7"/>
  <c r="P15" i="2" s="1"/>
  <c r="R29" i="7"/>
  <c r="O15" i="2" s="1"/>
  <c r="Q29" i="7"/>
  <c r="N15" i="2" s="1"/>
  <c r="P29" i="7"/>
  <c r="M15" i="2" s="1"/>
  <c r="O29" i="7"/>
  <c r="L15" i="2" s="1"/>
  <c r="N29" i="7"/>
  <c r="K15" i="2" s="1"/>
  <c r="M29" i="7"/>
  <c r="J15" i="2" s="1"/>
  <c r="L29" i="7"/>
  <c r="I15" i="2" s="1"/>
  <c r="K29" i="7"/>
  <c r="H15" i="2" s="1"/>
  <c r="J29" i="7"/>
  <c r="G15" i="2" s="1"/>
  <c r="I29" i="7"/>
  <c r="F15" i="2" s="1"/>
  <c r="H29" i="7"/>
  <c r="E15" i="2" s="1"/>
  <c r="G29" i="7"/>
  <c r="D15" i="2" s="1"/>
  <c r="T24" i="7"/>
  <c r="W24" i="7" s="1"/>
  <c r="T22" i="7"/>
  <c r="W22" i="7" s="1"/>
  <c r="T20" i="7"/>
  <c r="W20" i="7" s="1"/>
  <c r="T17" i="7"/>
  <c r="W17" i="7" s="1"/>
  <c r="T12" i="7"/>
  <c r="W12" i="7" s="1"/>
  <c r="T8" i="7"/>
  <c r="W8" i="7" s="1"/>
  <c r="P11" i="2"/>
  <c r="S28" i="5"/>
  <c r="R28" i="5"/>
  <c r="O11" i="2" s="1"/>
  <c r="Q28" i="5"/>
  <c r="N11" i="2" s="1"/>
  <c r="P28" i="5"/>
  <c r="M11" i="2" s="1"/>
  <c r="O28" i="5"/>
  <c r="L11" i="2" s="1"/>
  <c r="N28" i="5"/>
  <c r="K11" i="2" s="1"/>
  <c r="M28" i="5"/>
  <c r="J11" i="2" s="1"/>
  <c r="L28" i="5"/>
  <c r="I11" i="2" s="1"/>
  <c r="K28" i="5"/>
  <c r="H11" i="2" s="1"/>
  <c r="J28" i="5"/>
  <c r="G11" i="2" s="1"/>
  <c r="I28" i="5"/>
  <c r="F11" i="2" s="1"/>
  <c r="H28" i="5"/>
  <c r="E11" i="2" s="1"/>
  <c r="G28" i="5"/>
  <c r="D11" i="2" s="1"/>
  <c r="T27" i="5"/>
  <c r="U27" i="5" s="1"/>
  <c r="T26" i="5"/>
  <c r="V26" i="5" s="1"/>
  <c r="T25" i="5"/>
  <c r="U25" i="5" s="1"/>
  <c r="T24" i="5"/>
  <c r="U24" i="5" s="1"/>
  <c r="T23" i="5"/>
  <c r="W23" i="5" s="1"/>
  <c r="T22" i="5"/>
  <c r="W22" i="5" s="1"/>
  <c r="T21" i="5"/>
  <c r="W21" i="5" s="1"/>
  <c r="T20" i="5"/>
  <c r="W20" i="5" s="1"/>
  <c r="T19" i="5"/>
  <c r="W19" i="5" s="1"/>
  <c r="T18" i="5"/>
  <c r="W18" i="5" s="1"/>
  <c r="T17" i="5"/>
  <c r="W17" i="5" s="1"/>
  <c r="T16" i="5"/>
  <c r="W16" i="5" s="1"/>
  <c r="T15" i="5"/>
  <c r="W15" i="5" s="1"/>
  <c r="T14" i="5"/>
  <c r="W14" i="5" s="1"/>
  <c r="T13" i="5"/>
  <c r="W13" i="5" s="1"/>
  <c r="T12" i="5"/>
  <c r="U12" i="5" s="1"/>
  <c r="T11" i="5"/>
  <c r="U11" i="5" s="1"/>
  <c r="T10" i="5"/>
  <c r="U10" i="5" s="1"/>
  <c r="T9" i="5"/>
  <c r="U9" i="5" s="1"/>
  <c r="T8" i="5"/>
  <c r="U8" i="5" s="1"/>
  <c r="T7" i="5"/>
  <c r="U7" i="5" s="1"/>
  <c r="T6" i="5"/>
  <c r="U6" i="5" s="1"/>
  <c r="T5" i="5"/>
  <c r="U5" i="5" s="1"/>
  <c r="S31" i="3"/>
  <c r="P9" i="2" s="1"/>
  <c r="R31" i="3"/>
  <c r="O9" i="2" s="1"/>
  <c r="Q31" i="3"/>
  <c r="N9" i="2" s="1"/>
  <c r="P31" i="3"/>
  <c r="M9" i="2" s="1"/>
  <c r="O31" i="3"/>
  <c r="L9" i="2" s="1"/>
  <c r="N31" i="3"/>
  <c r="K9" i="2" s="1"/>
  <c r="M31" i="3"/>
  <c r="J9" i="2" s="1"/>
  <c r="L31" i="3"/>
  <c r="I9" i="2" s="1"/>
  <c r="K31" i="3"/>
  <c r="H9" i="2" s="1"/>
  <c r="J31" i="3"/>
  <c r="G9" i="2" s="1"/>
  <c r="I31" i="3"/>
  <c r="F9" i="2" s="1"/>
  <c r="H31" i="3"/>
  <c r="E9" i="2" s="1"/>
  <c r="G31" i="3"/>
  <c r="D9" i="2" s="1"/>
  <c r="T30" i="3"/>
  <c r="W30" i="3" s="1"/>
  <c r="T29" i="3"/>
  <c r="W29" i="3" s="1"/>
  <c r="T28" i="3"/>
  <c r="W28" i="3" s="1"/>
  <c r="T27" i="3"/>
  <c r="V27" i="3" s="1"/>
  <c r="T26" i="3"/>
  <c r="V26" i="3" s="1"/>
  <c r="T25" i="3"/>
  <c r="V25" i="3" s="1"/>
  <c r="W24" i="3"/>
  <c r="T24" i="3"/>
  <c r="V24" i="3" s="1"/>
  <c r="T23" i="3"/>
  <c r="V23" i="3" s="1"/>
  <c r="T22" i="3"/>
  <c r="V22" i="3" s="1"/>
  <c r="T21" i="3"/>
  <c r="V21" i="3" s="1"/>
  <c r="S19" i="6"/>
  <c r="P13" i="2" s="1"/>
  <c r="R19" i="6"/>
  <c r="O13" i="2" s="1"/>
  <c r="Q19" i="6"/>
  <c r="N13" i="2" s="1"/>
  <c r="P19" i="6"/>
  <c r="M13" i="2" s="1"/>
  <c r="O19" i="6"/>
  <c r="L13" i="2" s="1"/>
  <c r="N19" i="6"/>
  <c r="K13" i="2" s="1"/>
  <c r="M19" i="6"/>
  <c r="J13" i="2" s="1"/>
  <c r="L19" i="6"/>
  <c r="I13" i="2" s="1"/>
  <c r="K19" i="6"/>
  <c r="H13" i="2" s="1"/>
  <c r="J19" i="6"/>
  <c r="G13" i="2" s="1"/>
  <c r="I19" i="6"/>
  <c r="F13" i="2" s="1"/>
  <c r="H19" i="6"/>
  <c r="E13" i="2" s="1"/>
  <c r="G19" i="6"/>
  <c r="D13" i="2" s="1"/>
  <c r="T18" i="6"/>
  <c r="U18" i="6" s="1"/>
  <c r="T17" i="6"/>
  <c r="W17" i="6" s="1"/>
  <c r="T16" i="6"/>
  <c r="W16" i="6" s="1"/>
  <c r="T15" i="6"/>
  <c r="W15" i="6" s="1"/>
  <c r="T14" i="6"/>
  <c r="W14" i="6" s="1"/>
  <c r="T13" i="6"/>
  <c r="W13" i="6" s="1"/>
  <c r="T12" i="6"/>
  <c r="W12" i="6" s="1"/>
  <c r="T11" i="6"/>
  <c r="W11" i="6" s="1"/>
  <c r="T10" i="6"/>
  <c r="W10" i="6" s="1"/>
  <c r="T9" i="6"/>
  <c r="W9" i="6" s="1"/>
  <c r="T8" i="6"/>
  <c r="W8" i="6" s="1"/>
  <c r="T7" i="6"/>
  <c r="W7" i="6" s="1"/>
  <c r="T6" i="6"/>
  <c r="W6" i="6" s="1"/>
  <c r="P7" i="2"/>
  <c r="S16" i="3"/>
  <c r="R16" i="3"/>
  <c r="O7" i="2" s="1"/>
  <c r="Q16" i="3"/>
  <c r="N7" i="2" s="1"/>
  <c r="P16" i="3"/>
  <c r="M7" i="2" s="1"/>
  <c r="O16" i="3"/>
  <c r="L7" i="2" s="1"/>
  <c r="N16" i="3"/>
  <c r="K7" i="2" s="1"/>
  <c r="M16" i="3"/>
  <c r="J7" i="2" s="1"/>
  <c r="L16" i="3"/>
  <c r="I7" i="2" s="1"/>
  <c r="K16" i="3"/>
  <c r="H7" i="2" s="1"/>
  <c r="J16" i="3"/>
  <c r="G7" i="2" s="1"/>
  <c r="I16" i="3"/>
  <c r="F7" i="2" s="1"/>
  <c r="H16" i="3"/>
  <c r="E7" i="2" s="1"/>
  <c r="U15" i="3"/>
  <c r="T15" i="3"/>
  <c r="W15" i="3" s="1"/>
  <c r="U14" i="3"/>
  <c r="T14" i="3"/>
  <c r="W14" i="3" s="1"/>
  <c r="U13" i="3"/>
  <c r="T13" i="3"/>
  <c r="W13" i="3" s="1"/>
  <c r="U12" i="3"/>
  <c r="T12" i="3"/>
  <c r="W12" i="3" s="1"/>
  <c r="U11" i="3"/>
  <c r="T11" i="3"/>
  <c r="W11" i="3" s="1"/>
  <c r="U10" i="3"/>
  <c r="T10" i="3"/>
  <c r="W10" i="3" s="1"/>
  <c r="U9" i="3"/>
  <c r="T9" i="3"/>
  <c r="W9" i="3" s="1"/>
  <c r="U8" i="3"/>
  <c r="T8" i="3"/>
  <c r="W8" i="3" s="1"/>
  <c r="U7" i="3"/>
  <c r="T7" i="3"/>
  <c r="W7" i="3" s="1"/>
  <c r="T6" i="3"/>
  <c r="W6" i="3" s="1"/>
  <c r="V30" i="8"/>
  <c r="T19" i="2" s="1"/>
  <c r="V18" i="8"/>
  <c r="T17" i="2" s="1"/>
  <c r="U30" i="8"/>
  <c r="S19" i="2" s="1"/>
  <c r="T30" i="8"/>
  <c r="R19" i="2" s="1"/>
  <c r="S30" i="8"/>
  <c r="Q19" i="2" s="1"/>
  <c r="R30" i="8"/>
  <c r="P19" i="2" s="1"/>
  <c r="Q30" i="8"/>
  <c r="O19" i="2" s="1"/>
  <c r="P30" i="8"/>
  <c r="N19" i="2" s="1"/>
  <c r="M19" i="2"/>
  <c r="N30" i="8"/>
  <c r="L19" i="2" s="1"/>
  <c r="M30" i="8"/>
  <c r="K19" i="2" s="1"/>
  <c r="L30" i="8"/>
  <c r="J19" i="2" s="1"/>
  <c r="I19" i="2"/>
  <c r="J30" i="8"/>
  <c r="H19" i="2" s="1"/>
  <c r="I30" i="8"/>
  <c r="G19" i="2" s="1"/>
  <c r="H30" i="8"/>
  <c r="F19" i="2" s="1"/>
  <c r="G30" i="8"/>
  <c r="E19" i="2" s="1"/>
  <c r="F30" i="8"/>
  <c r="D19" i="2" s="1"/>
  <c r="U18" i="8"/>
  <c r="S17" i="2" s="1"/>
  <c r="T18" i="8"/>
  <c r="R17" i="2" s="1"/>
  <c r="S18" i="8"/>
  <c r="Q17" i="2" s="1"/>
  <c r="R18" i="8"/>
  <c r="P17" i="2" s="1"/>
  <c r="Q18" i="8"/>
  <c r="O17" i="2" s="1"/>
  <c r="P18" i="8"/>
  <c r="N17" i="2" s="1"/>
  <c r="O18" i="8"/>
  <c r="M17" i="2" s="1"/>
  <c r="N18" i="8"/>
  <c r="L17" i="2" s="1"/>
  <c r="M18" i="8"/>
  <c r="K17" i="2" s="1"/>
  <c r="L18" i="8"/>
  <c r="J17" i="2" s="1"/>
  <c r="K18" i="8"/>
  <c r="I17" i="2" s="1"/>
  <c r="J18" i="8"/>
  <c r="H17" i="2" s="1"/>
  <c r="I18" i="8"/>
  <c r="G17" i="2" s="1"/>
  <c r="H18" i="8"/>
  <c r="F17" i="2" s="1"/>
  <c r="G18" i="8"/>
  <c r="E17" i="2" s="1"/>
  <c r="F18" i="8"/>
  <c r="D17" i="2" s="1"/>
  <c r="T37" i="9" l="1"/>
  <c r="U37" i="9"/>
  <c r="T21" i="2" s="1"/>
  <c r="S28" i="2" s="1"/>
  <c r="W22" i="3"/>
  <c r="W26" i="3"/>
  <c r="W5" i="5"/>
  <c r="V30" i="3"/>
  <c r="V31" i="3" s="1"/>
  <c r="S9" i="2" s="1"/>
  <c r="V7" i="3"/>
  <c r="V9" i="3"/>
  <c r="V11" i="3"/>
  <c r="V13" i="3"/>
  <c r="V15" i="3"/>
  <c r="V8" i="3"/>
  <c r="V10" i="3"/>
  <c r="V12" i="3"/>
  <c r="V14" i="3"/>
  <c r="W21" i="3"/>
  <c r="W23" i="3"/>
  <c r="W31" i="3" s="1"/>
  <c r="T9" i="2" s="1"/>
  <c r="W25" i="3"/>
  <c r="W27" i="3"/>
  <c r="U30" i="3"/>
  <c r="W10" i="5"/>
  <c r="W25" i="5"/>
  <c r="V9" i="5"/>
  <c r="W9" i="5"/>
  <c r="V5" i="5"/>
  <c r="W26" i="5"/>
  <c r="W29" i="7"/>
  <c r="T15" i="2" s="1"/>
  <c r="H23" i="2"/>
  <c r="U12" i="7"/>
  <c r="V17" i="7"/>
  <c r="U24" i="7"/>
  <c r="V12" i="7"/>
  <c r="V24" i="7"/>
  <c r="U17" i="7"/>
  <c r="V17" i="6"/>
  <c r="V16" i="6"/>
  <c r="L23" i="2"/>
  <c r="P23" i="2"/>
  <c r="I23" i="2"/>
  <c r="M23" i="2"/>
  <c r="G23" i="2"/>
  <c r="K23" i="2"/>
  <c r="O23" i="2"/>
  <c r="N23" i="2"/>
  <c r="F23" i="2"/>
  <c r="J23" i="2"/>
  <c r="E23" i="2"/>
  <c r="W6" i="5"/>
  <c r="V6" i="5"/>
  <c r="U8" i="7"/>
  <c r="U22" i="7"/>
  <c r="V8" i="7"/>
  <c r="U20" i="7"/>
  <c r="V22" i="7"/>
  <c r="V20" i="7"/>
  <c r="T29" i="7"/>
  <c r="Q15" i="2" s="1"/>
  <c r="V8" i="5"/>
  <c r="W12" i="5"/>
  <c r="V7" i="5"/>
  <c r="W8" i="5"/>
  <c r="V11" i="5"/>
  <c r="W7" i="5"/>
  <c r="V10" i="5"/>
  <c r="W11" i="5"/>
  <c r="U15" i="5"/>
  <c r="U17" i="5"/>
  <c r="U19" i="5"/>
  <c r="U22" i="5"/>
  <c r="V14" i="5"/>
  <c r="V15" i="5"/>
  <c r="V17" i="5"/>
  <c r="V18" i="5"/>
  <c r="V19" i="5"/>
  <c r="V20" i="5"/>
  <c r="V22" i="5"/>
  <c r="V23" i="5"/>
  <c r="W24" i="5"/>
  <c r="U26" i="5"/>
  <c r="W27" i="5"/>
  <c r="T28" i="5"/>
  <c r="Q11" i="2" s="1"/>
  <c r="U14" i="5"/>
  <c r="U16" i="5"/>
  <c r="U18" i="5"/>
  <c r="U20" i="5"/>
  <c r="U21" i="5"/>
  <c r="U23" i="5"/>
  <c r="U13" i="5"/>
  <c r="V16" i="5"/>
  <c r="V21" i="5"/>
  <c r="T31" i="3"/>
  <c r="Q9" i="2" s="1"/>
  <c r="U29" i="3"/>
  <c r="U21" i="3"/>
  <c r="U22" i="3"/>
  <c r="U23" i="3"/>
  <c r="U24" i="3"/>
  <c r="U25" i="3"/>
  <c r="U26" i="3"/>
  <c r="U27" i="3"/>
  <c r="U28" i="3"/>
  <c r="U7" i="6"/>
  <c r="U9" i="6"/>
  <c r="U11" i="6"/>
  <c r="U13" i="6"/>
  <c r="U15" i="6"/>
  <c r="U17" i="6"/>
  <c r="V6" i="6"/>
  <c r="V7" i="6"/>
  <c r="V8" i="6"/>
  <c r="V9" i="6"/>
  <c r="V10" i="6"/>
  <c r="V11" i="6"/>
  <c r="V12" i="6"/>
  <c r="V13" i="6"/>
  <c r="V14" i="6"/>
  <c r="V15" i="6"/>
  <c r="W18" i="6"/>
  <c r="W19" i="6" s="1"/>
  <c r="T13" i="2" s="1"/>
  <c r="T19" i="6"/>
  <c r="Q13" i="2" s="1"/>
  <c r="U6" i="6"/>
  <c r="U8" i="6"/>
  <c r="U10" i="6"/>
  <c r="U12" i="6"/>
  <c r="U14" i="6"/>
  <c r="U16" i="6"/>
  <c r="V6" i="3"/>
  <c r="V29" i="7" l="1"/>
  <c r="S15" i="2" s="1"/>
  <c r="U29" i="7"/>
  <c r="R15" i="2" s="1"/>
  <c r="W28" i="5"/>
  <c r="T11" i="2" s="1"/>
  <c r="V28" i="5"/>
  <c r="S11" i="2" s="1"/>
  <c r="U28" i="5"/>
  <c r="R11" i="2" s="1"/>
  <c r="U31" i="3"/>
  <c r="R9" i="2" s="1"/>
  <c r="U19" i="6"/>
  <c r="R13" i="2" s="1"/>
  <c r="U5" i="3"/>
  <c r="U16" i="3" s="1"/>
  <c r="R7" i="2" s="1"/>
  <c r="T5" i="3"/>
  <c r="W5" i="3" s="1"/>
  <c r="W16" i="3" s="1"/>
  <c r="T7" i="2" s="1"/>
  <c r="G16" i="3"/>
  <c r="D7" i="2" s="1"/>
  <c r="D23" i="2" s="1"/>
  <c r="S29" i="2" l="1"/>
  <c r="S31" i="2" s="1"/>
  <c r="V5" i="3"/>
  <c r="V16" i="3" s="1"/>
  <c r="S7" i="2" s="1"/>
  <c r="T16" i="3"/>
  <c r="Q7" i="2" s="1"/>
  <c r="V19" i="6"/>
  <c r="S13" i="2" s="1"/>
</calcChain>
</file>

<file path=xl/sharedStrings.xml><?xml version="1.0" encoding="utf-8"?>
<sst xmlns="http://schemas.openxmlformats.org/spreadsheetml/2006/main" count="361" uniqueCount="299">
  <si>
    <t>ECLIPSE</t>
  </si>
  <si>
    <t>SET A</t>
  </si>
  <si>
    <t>SET B</t>
  </si>
  <si>
    <t>SET C</t>
  </si>
  <si>
    <t>SET D</t>
  </si>
  <si>
    <t>SET E</t>
  </si>
  <si>
    <t>UBE 01</t>
  </si>
  <si>
    <t>UBE 05</t>
  </si>
  <si>
    <t>UBE 10</t>
  </si>
  <si>
    <t>UBE 15</t>
  </si>
  <si>
    <t>UBE 20</t>
  </si>
  <si>
    <t>NAME</t>
  </si>
  <si>
    <t>SET SIZE</t>
  </si>
  <si>
    <t>SKU</t>
  </si>
  <si>
    <t>PRICE</t>
  </si>
  <si>
    <t>TOTAL ex GST</t>
  </si>
  <si>
    <t>UBE 75</t>
  </si>
  <si>
    <t>UBE 76</t>
  </si>
  <si>
    <t>BLOCKERS</t>
  </si>
  <si>
    <t>SET A1</t>
  </si>
  <si>
    <t>SET A2</t>
  </si>
  <si>
    <t>SET B1</t>
  </si>
  <si>
    <t>SET B2</t>
  </si>
  <si>
    <t>SET C1</t>
  </si>
  <si>
    <t>SET C2</t>
  </si>
  <si>
    <t>SET D1</t>
  </si>
  <si>
    <t>SET D2</t>
  </si>
  <si>
    <t>SET E1</t>
  </si>
  <si>
    <t>SET E2</t>
  </si>
  <si>
    <t>UBE 25</t>
  </si>
  <si>
    <t>UBE 30</t>
  </si>
  <si>
    <t>UBE 35</t>
  </si>
  <si>
    <t>UBE 40</t>
  </si>
  <si>
    <t>UBE 45</t>
  </si>
  <si>
    <t>UBE 50</t>
  </si>
  <si>
    <t>UBE 55</t>
  </si>
  <si>
    <t>UBE 60</t>
  </si>
  <si>
    <t>UBE 65</t>
  </si>
  <si>
    <t>UBE 70</t>
  </si>
  <si>
    <t>DRIFTS</t>
  </si>
  <si>
    <t>MED JUGS 2</t>
  </si>
  <si>
    <t>MED JUGS 1</t>
  </si>
  <si>
    <t>XL JUGS 1</t>
  </si>
  <si>
    <t>XXL JUGS 1</t>
  </si>
  <si>
    <t>XXXL JUGS 1</t>
  </si>
  <si>
    <t>MONSTER 2</t>
  </si>
  <si>
    <t>UD 01</t>
  </si>
  <si>
    <t>UD 05</t>
  </si>
  <si>
    <t>UD 07</t>
  </si>
  <si>
    <t>UD 10</t>
  </si>
  <si>
    <t>UD 15</t>
  </si>
  <si>
    <t>UD 20</t>
  </si>
  <si>
    <t>UD 25</t>
  </si>
  <si>
    <t>UD 30</t>
  </si>
  <si>
    <t>UD 35</t>
  </si>
  <si>
    <t>UD 40</t>
  </si>
  <si>
    <t>UD 45</t>
  </si>
  <si>
    <t>UD 50</t>
  </si>
  <si>
    <t>UD 66</t>
  </si>
  <si>
    <t>WEIGHT</t>
  </si>
  <si>
    <t>SETS</t>
  </si>
  <si>
    <t>HOLDS</t>
  </si>
  <si>
    <t>SM FEET 1</t>
  </si>
  <si>
    <t>SM FEET 2</t>
  </si>
  <si>
    <t>LG FEET</t>
  </si>
  <si>
    <t>SM JUGS 1</t>
  </si>
  <si>
    <t>LG JUGS 1</t>
  </si>
  <si>
    <t>SMALL FEET 1</t>
  </si>
  <si>
    <t>SMALL EDGE 2</t>
  </si>
  <si>
    <t>TECH FEET</t>
  </si>
  <si>
    <t>UD 04</t>
  </si>
  <si>
    <t>XS FEET</t>
  </si>
  <si>
    <t>UD 06</t>
  </si>
  <si>
    <t>FEINT EDGES</t>
  </si>
  <si>
    <t>UD 08</t>
  </si>
  <si>
    <t>UD 11</t>
  </si>
  <si>
    <t xml:space="preserve">LG EDGES </t>
  </si>
  <si>
    <t xml:space="preserve">PLATE EDGES </t>
  </si>
  <si>
    <t>LG INCUTS</t>
  </si>
  <si>
    <t>UD 12</t>
  </si>
  <si>
    <t>SM EDGES 1</t>
  </si>
  <si>
    <t>SM EDGES 2</t>
  </si>
  <si>
    <t>UD 16</t>
  </si>
  <si>
    <t>MED EDGES</t>
  </si>
  <si>
    <t>UD 17</t>
  </si>
  <si>
    <t>RIB INCUTS</t>
  </si>
  <si>
    <t>UD 18</t>
  </si>
  <si>
    <t>FLAT EDGES</t>
  </si>
  <si>
    <t>UD 19</t>
  </si>
  <si>
    <t>UBE 02</t>
  </si>
  <si>
    <t>SMALL EDGE 1</t>
  </si>
  <si>
    <t>UBE 74</t>
  </si>
  <si>
    <t>XS FEET 1</t>
  </si>
  <si>
    <t>UBE 77</t>
  </si>
  <si>
    <t>XS FEET 2</t>
  </si>
  <si>
    <t>UBE 78</t>
  </si>
  <si>
    <t>LOAVES</t>
  </si>
  <si>
    <t>FEET</t>
  </si>
  <si>
    <t>XS</t>
  </si>
  <si>
    <t>SMALL</t>
  </si>
  <si>
    <t>MEDIUM</t>
  </si>
  <si>
    <t>LARGE</t>
  </si>
  <si>
    <t>XL</t>
  </si>
  <si>
    <t>XXL 1</t>
  </si>
  <si>
    <t>XXL 2</t>
  </si>
  <si>
    <t>XXXL</t>
  </si>
  <si>
    <t>4 XL 1</t>
  </si>
  <si>
    <t>4 XL 2</t>
  </si>
  <si>
    <t>4 XL 3</t>
  </si>
  <si>
    <t>4 XL 4</t>
  </si>
  <si>
    <t>UL 01</t>
  </si>
  <si>
    <t>UL 10</t>
  </si>
  <si>
    <t>UL 15</t>
  </si>
  <si>
    <t>UL 20</t>
  </si>
  <si>
    <t>UL 25</t>
  </si>
  <si>
    <t>UL 30</t>
  </si>
  <si>
    <t>UL 35</t>
  </si>
  <si>
    <t>UL 40</t>
  </si>
  <si>
    <t>UL 45</t>
  </si>
  <si>
    <t>UL 50</t>
  </si>
  <si>
    <t>UL 55</t>
  </si>
  <si>
    <t>UL 60</t>
  </si>
  <si>
    <t>UL 65</t>
  </si>
  <si>
    <t>ROUGH LINE</t>
  </si>
  <si>
    <t>SMALL FEET</t>
  </si>
  <si>
    <t>SMALL EDGES</t>
  </si>
  <si>
    <t>LG SLOPE EDGE</t>
  </si>
  <si>
    <t>XL PINCHES</t>
  </si>
  <si>
    <t>XL SLOPE EDGE</t>
  </si>
  <si>
    <t>URL 05</t>
  </si>
  <si>
    <t>URL 10</t>
  </si>
  <si>
    <t>URL 20</t>
  </si>
  <si>
    <t>URL 30</t>
  </si>
  <si>
    <t>URL 40</t>
  </si>
  <si>
    <t>URL 50</t>
  </si>
  <si>
    <t>EDGES</t>
  </si>
  <si>
    <t>SMOOTH LINE</t>
  </si>
  <si>
    <t>POCKETS</t>
  </si>
  <si>
    <t>SLOPERS</t>
  </si>
  <si>
    <t>XL SLOTS</t>
  </si>
  <si>
    <t xml:space="preserve">XL </t>
  </si>
  <si>
    <t>FEATURE 1</t>
  </si>
  <si>
    <t>FEATURE 2</t>
  </si>
  <si>
    <t>FEATURE 3</t>
  </si>
  <si>
    <t>LARGE SLOTS</t>
  </si>
  <si>
    <t xml:space="preserve">LARGE </t>
  </si>
  <si>
    <t>MED FEET</t>
  </si>
  <si>
    <t>LG EDGE 1</t>
  </si>
  <si>
    <t>LG EDGE 2</t>
  </si>
  <si>
    <t>XL SLOPERS</t>
  </si>
  <si>
    <t>XXL SLOPERS</t>
  </si>
  <si>
    <t>UP 01</t>
  </si>
  <si>
    <t>UP 05</t>
  </si>
  <si>
    <t>UP 10</t>
  </si>
  <si>
    <t>UP 15</t>
  </si>
  <si>
    <t>UP 20</t>
  </si>
  <si>
    <t>UP 25</t>
  </si>
  <si>
    <t>UP 30</t>
  </si>
  <si>
    <t>UP 40</t>
  </si>
  <si>
    <t>UP 41</t>
  </si>
  <si>
    <t>UP 42</t>
  </si>
  <si>
    <t>USL 01</t>
  </si>
  <si>
    <t>USL 05</t>
  </si>
  <si>
    <t>USL 10</t>
  </si>
  <si>
    <t>USL 15</t>
  </si>
  <si>
    <t>USL 20</t>
  </si>
  <si>
    <t>USL 21</t>
  </si>
  <si>
    <t>USL 30</t>
  </si>
  <si>
    <t>USL 40</t>
  </si>
  <si>
    <t>FOOT JIBS</t>
  </si>
  <si>
    <t>URL 01</t>
  </si>
  <si>
    <t>SMALL JIBS</t>
  </si>
  <si>
    <t>URL 02</t>
  </si>
  <si>
    <t>MED JIBS</t>
  </si>
  <si>
    <t>URL 06</t>
  </si>
  <si>
    <t>URL 07</t>
  </si>
  <si>
    <t>URL 09</t>
  </si>
  <si>
    <t>SM DEEP EDGE</t>
  </si>
  <si>
    <t>URL 11</t>
  </si>
  <si>
    <t>URL 12</t>
  </si>
  <si>
    <t>SM STEEP EDGE</t>
  </si>
  <si>
    <t>URL 13</t>
  </si>
  <si>
    <t>LG FIN EDGE</t>
  </si>
  <si>
    <t>URL 14</t>
  </si>
  <si>
    <t>MED EDGE 2</t>
  </si>
  <si>
    <t>URL 21</t>
  </si>
  <si>
    <t>MED EDGE 3</t>
  </si>
  <si>
    <t>URL 22</t>
  </si>
  <si>
    <t>URL 31</t>
  </si>
  <si>
    <t>XL PINCHES 2</t>
  </si>
  <si>
    <t>URL 41</t>
  </si>
  <si>
    <t>SM JUGS</t>
  </si>
  <si>
    <t>URL 60</t>
  </si>
  <si>
    <t>URL 61</t>
  </si>
  <si>
    <t>URL 62</t>
  </si>
  <si>
    <t xml:space="preserve">LG JUGS </t>
  </si>
  <si>
    <t>URL 65</t>
  </si>
  <si>
    <t>MONSTER 4</t>
  </si>
  <si>
    <t>UD 68</t>
  </si>
  <si>
    <t>TOTAL SETS PER COLOUR</t>
  </si>
  <si>
    <t>SMOOTH LINE (POCKETS)</t>
  </si>
  <si>
    <t>SMOOTH LINE (SLOPERS)</t>
  </si>
  <si>
    <t>COST ex GST</t>
  </si>
  <si>
    <t>TOTAL SETS</t>
  </si>
  <si>
    <t>TOTAL HOLDS</t>
  </si>
  <si>
    <t>TOTAL WEIGHT</t>
  </si>
  <si>
    <t>TOTAL COST ex GST</t>
  </si>
  <si>
    <t>GST</t>
  </si>
  <si>
    <t>TOTAL ORDER COST</t>
  </si>
  <si>
    <t>SHIPPING DETAILS</t>
  </si>
  <si>
    <t>COMPANY NAME</t>
  </si>
  <si>
    <t>ADDRESS</t>
  </si>
  <si>
    <t>POST CODE</t>
  </si>
  <si>
    <t>COUNTRY</t>
  </si>
  <si>
    <t>PHONE NUMBER</t>
  </si>
  <si>
    <t>EMAIL</t>
  </si>
  <si>
    <t>YOUR REFERENCE NUMBER</t>
  </si>
  <si>
    <t>PHOTOS</t>
  </si>
  <si>
    <t>PHOTO</t>
  </si>
  <si>
    <t>PRICES SHOWN ARE INCLUSIVE OF SHIPPING AND CUSTOMS CHARGES INTO AUSTRALIA. THEY DO NOT INCLUDE GST AND ARE VALID UNTILL END 09/21</t>
  </si>
  <si>
    <t xml:space="preserve">COLOURS: 2-BRIGHT YELLOW. 5-TRAFFIC RED. 7-SKY BLUE. 10-BLACK. 11-FLURO ORANGE. 12-FLURO GREEN. 13-FLURO PINK. </t>
  </si>
  <si>
    <t>16-SIGNAL VIOLET. 69-LIGHT GREEN. 76-BURNT ORANGE. 77-US GREEN. 79-PURE WHITE. 81-PURPLE</t>
  </si>
  <si>
    <t>A1</t>
  </si>
  <si>
    <t>A2</t>
  </si>
  <si>
    <t>B1</t>
  </si>
  <si>
    <t>B2</t>
  </si>
  <si>
    <t>C1</t>
  </si>
  <si>
    <t>C2</t>
  </si>
  <si>
    <t>D1</t>
  </si>
  <si>
    <t>D2</t>
  </si>
  <si>
    <t>D3</t>
  </si>
  <si>
    <t>E1</t>
  </si>
  <si>
    <t>E2</t>
  </si>
  <si>
    <t>E3</t>
  </si>
  <si>
    <t>F1</t>
  </si>
  <si>
    <t>F2</t>
  </si>
  <si>
    <t>F3</t>
  </si>
  <si>
    <t>G1</t>
  </si>
  <si>
    <t>G2</t>
  </si>
  <si>
    <t>UCF 01</t>
  </si>
  <si>
    <t>UCF 02</t>
  </si>
  <si>
    <t>UCF 03</t>
  </si>
  <si>
    <t>UCF 04</t>
  </si>
  <si>
    <t>UCF 05</t>
  </si>
  <si>
    <t>UCF 06</t>
  </si>
  <si>
    <t>UCF 07</t>
  </si>
  <si>
    <t>UCF 08</t>
  </si>
  <si>
    <t>UCF 09</t>
  </si>
  <si>
    <t>UCF 10</t>
  </si>
  <si>
    <t>UCF 11</t>
  </si>
  <si>
    <t>UCF 12</t>
  </si>
  <si>
    <t>UCF 13</t>
  </si>
  <si>
    <t>UCF 14</t>
  </si>
  <si>
    <t>UCF 15</t>
  </si>
  <si>
    <t>UCF 16</t>
  </si>
  <si>
    <t>UCF 17</t>
  </si>
  <si>
    <t>A1/A2</t>
  </si>
  <si>
    <t>B1/B2</t>
  </si>
  <si>
    <t>C1/C2</t>
  </si>
  <si>
    <t>D1/D2/D3</t>
  </si>
  <si>
    <t>E1/E2/E3</t>
  </si>
  <si>
    <t>F1/F2/F3</t>
  </si>
  <si>
    <t>G1/G2</t>
  </si>
  <si>
    <t>UCF A</t>
  </si>
  <si>
    <t>UCF B</t>
  </si>
  <si>
    <t>UCF C</t>
  </si>
  <si>
    <t>UCF D</t>
  </si>
  <si>
    <t>UCF E</t>
  </si>
  <si>
    <t>UCF F</t>
  </si>
  <si>
    <t>UCF G</t>
  </si>
  <si>
    <t>UNITS</t>
  </si>
  <si>
    <t>HOLD SIZE</t>
  </si>
  <si>
    <t>78 x 32 x 15</t>
  </si>
  <si>
    <t>74 x 30 x 14</t>
  </si>
  <si>
    <t>80 x 28 x 16</t>
  </si>
  <si>
    <t>80 x 26 x 13</t>
  </si>
  <si>
    <t>69 x 29 x 13</t>
  </si>
  <si>
    <t>70 x 32 x 16</t>
  </si>
  <si>
    <t>78 x 20 x 10</t>
  </si>
  <si>
    <t>78 x 20 x 9</t>
  </si>
  <si>
    <t>80 x 19 x 8</t>
  </si>
  <si>
    <t>68 x 17 x 8</t>
  </si>
  <si>
    <t>68 x 20 x 9</t>
  </si>
  <si>
    <t>68 x 19 x 10</t>
  </si>
  <si>
    <t>66 x 18 x 9</t>
  </si>
  <si>
    <t>80 x 20 x 10</t>
  </si>
  <si>
    <t>75 x 20 x 10</t>
  </si>
  <si>
    <t>60 x 46 x 13</t>
  </si>
  <si>
    <t>60 x 45 x 12</t>
  </si>
  <si>
    <t>FIBERGLASS MACROS</t>
  </si>
  <si>
    <t>fluro</t>
  </si>
  <si>
    <t>violet</t>
  </si>
  <si>
    <t>white</t>
  </si>
  <si>
    <t>green</t>
  </si>
  <si>
    <t>yellow</t>
  </si>
  <si>
    <t>red</t>
  </si>
  <si>
    <t>blue</t>
  </si>
  <si>
    <t>black</t>
  </si>
  <si>
    <t>Colours for fiberglass do not exactly match the colours of PU holds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</si>
</sst>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[$$-C09]* #,##0.00_-;\-[$$-C09]* #,##0.00_-;_-[$$-C09]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6">
    <xf numFmtId="0" fontId="0" fillId="0" borderId="0" xfId="0"/>
    <xf numFmtId="0" fontId="3" fillId="0" borderId="0" xfId="0" applyFont="1" applyFill="1" applyBorder="1" applyAlignment="1">
      <alignment horizontal="center"/>
    </xf>
    <xf numFmtId="0" fontId="0" fillId="4" borderId="1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5" borderId="1" xfId="0" applyFill="1" applyBorder="1" applyProtection="1">
      <protection locked="0"/>
    </xf>
    <xf numFmtId="0" fontId="0" fillId="6" borderId="1" xfId="0" applyFill="1" applyBorder="1" applyProtection="1">
      <protection locked="0"/>
    </xf>
    <xf numFmtId="0" fontId="0" fillId="7" borderId="1" xfId="0" applyFill="1" applyBorder="1" applyProtection="1">
      <protection locked="0"/>
    </xf>
    <xf numFmtId="0" fontId="0" fillId="8" borderId="1" xfId="0" applyFill="1" applyBorder="1" applyProtection="1">
      <protection locked="0"/>
    </xf>
    <xf numFmtId="0" fontId="0" fillId="9" borderId="1" xfId="0" applyFill="1" applyBorder="1" applyProtection="1">
      <protection locked="0"/>
    </xf>
    <xf numFmtId="0" fontId="0" fillId="10" borderId="1" xfId="0" applyFill="1" applyBorder="1" applyProtection="1">
      <protection locked="0"/>
    </xf>
    <xf numFmtId="0" fontId="0" fillId="11" borderId="1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4" borderId="8" xfId="0" applyFill="1" applyBorder="1" applyProtection="1">
      <protection locked="0"/>
    </xf>
    <xf numFmtId="0" fontId="0" fillId="5" borderId="8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7" borderId="8" xfId="0" applyFill="1" applyBorder="1" applyProtection="1">
      <protection locked="0"/>
    </xf>
    <xf numFmtId="0" fontId="0" fillId="8" borderId="8" xfId="0" applyFill="1" applyBorder="1" applyProtection="1">
      <protection locked="0"/>
    </xf>
    <xf numFmtId="0" fontId="0" fillId="10" borderId="8" xfId="0" applyFill="1" applyBorder="1" applyProtection="1">
      <protection locked="0"/>
    </xf>
    <xf numFmtId="0" fontId="0" fillId="11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0" fillId="3" borderId="3" xfId="0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0" fillId="5" borderId="3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7" borderId="3" xfId="0" applyFill="1" applyBorder="1" applyProtection="1">
      <protection locked="0"/>
    </xf>
    <xf numFmtId="0" fontId="0" fillId="8" borderId="3" xfId="0" applyFill="1" applyBorder="1" applyProtection="1">
      <protection locked="0"/>
    </xf>
    <xf numFmtId="0" fontId="0" fillId="9" borderId="3" xfId="0" applyFill="1" applyBorder="1" applyProtection="1">
      <protection locked="0"/>
    </xf>
    <xf numFmtId="0" fontId="0" fillId="10" borderId="3" xfId="0" applyFill="1" applyBorder="1" applyProtection="1">
      <protection locked="0"/>
    </xf>
    <xf numFmtId="0" fontId="0" fillId="11" borderId="3" xfId="0" applyFill="1" applyBorder="1" applyProtection="1">
      <protection locked="0"/>
    </xf>
    <xf numFmtId="0" fontId="0" fillId="13" borderId="0" xfId="0" applyFill="1" applyBorder="1" applyProtection="1">
      <protection locked="0"/>
    </xf>
    <xf numFmtId="0" fontId="4" fillId="13" borderId="0" xfId="0" applyFont="1" applyFill="1" applyBorder="1" applyProtection="1">
      <protection locked="0"/>
    </xf>
    <xf numFmtId="0" fontId="0" fillId="13" borderId="16" xfId="0" applyFill="1" applyBorder="1" applyProtection="1">
      <protection locked="0"/>
    </xf>
    <xf numFmtId="0" fontId="4" fillId="13" borderId="16" xfId="0" applyFont="1" applyFill="1" applyBorder="1" applyProtection="1">
      <protection locked="0"/>
    </xf>
    <xf numFmtId="0" fontId="0" fillId="13" borderId="0" xfId="0" applyFill="1"/>
    <xf numFmtId="0" fontId="0" fillId="13" borderId="0" xfId="0" applyFill="1" applyProtection="1">
      <protection locked="0"/>
    </xf>
    <xf numFmtId="0" fontId="4" fillId="13" borderId="0" xfId="0" applyFont="1" applyFill="1" applyProtection="1">
      <protection locked="0"/>
    </xf>
    <xf numFmtId="0" fontId="3" fillId="14" borderId="5" xfId="0" applyFont="1" applyFill="1" applyBorder="1" applyAlignment="1" applyProtection="1">
      <alignment horizontal="center"/>
    </xf>
    <xf numFmtId="0" fontId="3" fillId="14" borderId="1" xfId="0" applyFont="1" applyFill="1" applyBorder="1" applyAlignment="1" applyProtection="1">
      <alignment horizontal="center"/>
    </xf>
    <xf numFmtId="0" fontId="0" fillId="13" borderId="0" xfId="0" applyFill="1" applyProtection="1"/>
    <xf numFmtId="0" fontId="3" fillId="14" borderId="7" xfId="0" applyFont="1" applyFill="1" applyBorder="1" applyAlignment="1" applyProtection="1">
      <alignment horizontal="center"/>
    </xf>
    <xf numFmtId="0" fontId="3" fillId="14" borderId="8" xfId="0" applyFont="1" applyFill="1" applyBorder="1" applyAlignment="1" applyProtection="1">
      <alignment horizontal="center"/>
    </xf>
    <xf numFmtId="44" fontId="0" fillId="13" borderId="0" xfId="1" applyFont="1" applyFill="1" applyBorder="1" applyProtection="1"/>
    <xf numFmtId="44" fontId="0" fillId="13" borderId="16" xfId="1" applyFont="1" applyFill="1" applyBorder="1" applyProtection="1"/>
    <xf numFmtId="0" fontId="0" fillId="14" borderId="1" xfId="0" applyFill="1" applyBorder="1" applyProtection="1"/>
    <xf numFmtId="0" fontId="0" fillId="14" borderId="8" xfId="0" applyFill="1" applyBorder="1" applyProtection="1"/>
    <xf numFmtId="0" fontId="0" fillId="13" borderId="0" xfId="0" applyFill="1" applyBorder="1" applyProtection="1"/>
    <xf numFmtId="164" fontId="0" fillId="13" borderId="0" xfId="1" applyNumberFormat="1" applyFont="1" applyFill="1" applyBorder="1" applyProtection="1"/>
    <xf numFmtId="0" fontId="0" fillId="13" borderId="16" xfId="0" applyFill="1" applyBorder="1" applyProtection="1"/>
    <xf numFmtId="164" fontId="0" fillId="13" borderId="16" xfId="1" applyNumberFormat="1" applyFont="1" applyFill="1" applyBorder="1" applyProtection="1"/>
    <xf numFmtId="0" fontId="0" fillId="13" borderId="8" xfId="0" applyFill="1" applyBorder="1" applyProtection="1">
      <protection locked="0"/>
    </xf>
    <xf numFmtId="0" fontId="3" fillId="13" borderId="5" xfId="0" applyFont="1" applyFill="1" applyBorder="1" applyAlignment="1" applyProtection="1">
      <alignment horizontal="center"/>
    </xf>
    <xf numFmtId="0" fontId="3" fillId="13" borderId="1" xfId="0" applyFont="1" applyFill="1" applyBorder="1" applyAlignment="1" applyProtection="1">
      <alignment horizontal="center"/>
    </xf>
    <xf numFmtId="0" fontId="0" fillId="13" borderId="1" xfId="0" applyFill="1" applyBorder="1" applyProtection="1">
      <protection locked="0"/>
    </xf>
    <xf numFmtId="0" fontId="0" fillId="13" borderId="1" xfId="0" applyFill="1" applyBorder="1" applyProtection="1"/>
    <xf numFmtId="0" fontId="0" fillId="13" borderId="18" xfId="0" applyFill="1" applyBorder="1" applyProtection="1">
      <protection locked="0"/>
    </xf>
    <xf numFmtId="0" fontId="0" fillId="13" borderId="18" xfId="0" applyFill="1" applyBorder="1" applyProtection="1"/>
    <xf numFmtId="0" fontId="0" fillId="14" borderId="6" xfId="0" applyFill="1" applyBorder="1" applyProtection="1"/>
    <xf numFmtId="0" fontId="0" fillId="14" borderId="9" xfId="0" applyFill="1" applyBorder="1" applyProtection="1"/>
    <xf numFmtId="0" fontId="0" fillId="13" borderId="0" xfId="0" applyFill="1" applyBorder="1" applyAlignment="1" applyProtection="1">
      <alignment horizontal="center"/>
    </xf>
    <xf numFmtId="0" fontId="0" fillId="9" borderId="8" xfId="0" applyFill="1" applyBorder="1" applyProtection="1">
      <protection locked="0"/>
    </xf>
    <xf numFmtId="0" fontId="0" fillId="13" borderId="3" xfId="0" applyFill="1" applyBorder="1" applyProtection="1">
      <protection locked="0"/>
    </xf>
    <xf numFmtId="0" fontId="0" fillId="13" borderId="1" xfId="0" applyFill="1" applyBorder="1"/>
    <xf numFmtId="0" fontId="6" fillId="13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3" fillId="13" borderId="16" xfId="0" applyFont="1" applyFill="1" applyBorder="1" applyAlignment="1" applyProtection="1">
      <alignment horizontal="center"/>
    </xf>
    <xf numFmtId="0" fontId="0" fillId="13" borderId="16" xfId="0" applyFill="1" applyBorder="1" applyAlignment="1" applyProtection="1">
      <alignment horizontal="center"/>
    </xf>
    <xf numFmtId="0" fontId="3" fillId="13" borderId="0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Border="1"/>
    <xf numFmtId="164" fontId="0" fillId="13" borderId="1" xfId="1" applyNumberFormat="1" applyFont="1" applyFill="1" applyBorder="1" applyProtection="1"/>
    <xf numFmtId="0" fontId="0" fillId="13" borderId="0" xfId="0" applyFill="1" applyBorder="1"/>
    <xf numFmtId="44" fontId="0" fillId="13" borderId="1" xfId="0" applyNumberFormat="1" applyFill="1" applyBorder="1" applyProtection="1"/>
    <xf numFmtId="164" fontId="0" fillId="13" borderId="1" xfId="0" applyNumberFormat="1" applyFill="1" applyBorder="1" applyProtection="1"/>
    <xf numFmtId="0" fontId="0" fillId="0" borderId="13" xfId="0" applyBorder="1"/>
    <xf numFmtId="0" fontId="3" fillId="0" borderId="0" xfId="0" applyFont="1"/>
    <xf numFmtId="0" fontId="4" fillId="0" borderId="0" xfId="0" applyFont="1"/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16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9" fillId="0" borderId="27" xfId="0" applyFont="1" applyBorder="1"/>
    <xf numFmtId="0" fontId="4" fillId="16" borderId="3" xfId="0" applyFont="1" applyFill="1" applyBorder="1" applyProtection="1">
      <protection locked="0"/>
    </xf>
    <xf numFmtId="0" fontId="4" fillId="16" borderId="1" xfId="0" applyFont="1" applyFill="1" applyBorder="1" applyProtection="1">
      <protection locked="0"/>
    </xf>
    <xf numFmtId="0" fontId="4" fillId="16" borderId="8" xfId="0" applyFont="1" applyFill="1" applyBorder="1" applyProtection="1">
      <protection locked="0"/>
    </xf>
    <xf numFmtId="0" fontId="0" fillId="18" borderId="1" xfId="0" applyFill="1" applyBorder="1" applyProtection="1">
      <protection locked="0"/>
    </xf>
    <xf numFmtId="0" fontId="0" fillId="0" borderId="0" xfId="0" applyBorder="1" applyAlignment="1">
      <alignment horizontal="center"/>
    </xf>
    <xf numFmtId="0" fontId="0" fillId="13" borderId="1" xfId="0" applyFill="1" applyBorder="1" applyAlignment="1" applyProtection="1">
      <alignment horizontal="center"/>
      <protection locked="0"/>
    </xf>
    <xf numFmtId="0" fontId="0" fillId="13" borderId="1" xfId="0" applyFill="1" applyBorder="1" applyAlignment="1" applyProtection="1">
      <alignment horizontal="center"/>
    </xf>
    <xf numFmtId="164" fontId="0" fillId="13" borderId="1" xfId="1" applyNumberFormat="1" applyFont="1" applyFill="1" applyBorder="1" applyAlignment="1" applyProtection="1">
      <alignment horizontal="center"/>
    </xf>
    <xf numFmtId="0" fontId="0" fillId="18" borderId="3" xfId="0" applyFill="1" applyBorder="1" applyProtection="1">
      <protection locked="0"/>
    </xf>
    <xf numFmtId="0" fontId="0" fillId="18" borderId="8" xfId="0" applyFill="1" applyBorder="1" applyProtection="1">
      <protection locked="0"/>
    </xf>
    <xf numFmtId="0" fontId="9" fillId="0" borderId="23" xfId="0" applyFont="1" applyBorder="1" applyAlignment="1"/>
    <xf numFmtId="0" fontId="9" fillId="0" borderId="24" xfId="0" applyFont="1" applyBorder="1" applyAlignment="1"/>
    <xf numFmtId="0" fontId="0" fillId="0" borderId="24" xfId="0" applyBorder="1"/>
    <xf numFmtId="0" fontId="0" fillId="0" borderId="23" xfId="0" applyBorder="1"/>
    <xf numFmtId="0" fontId="0" fillId="11" borderId="1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4" fillId="16" borderId="1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18" borderId="1" xfId="0" applyFill="1" applyBorder="1" applyAlignment="1" applyProtection="1">
      <alignment horizontal="center"/>
      <protection locked="0"/>
    </xf>
    <xf numFmtId="0" fontId="0" fillId="10" borderId="1" xfId="0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10" fillId="13" borderId="18" xfId="0" applyFont="1" applyFill="1" applyBorder="1" applyProtection="1">
      <protection locked="0"/>
    </xf>
    <xf numFmtId="44" fontId="0" fillId="13" borderId="18" xfId="0" applyNumberFormat="1" applyFill="1" applyBorder="1" applyProtection="1"/>
    <xf numFmtId="0" fontId="3" fillId="0" borderId="0" xfId="0" applyFont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2" fillId="16" borderId="29" xfId="0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0" fontId="3" fillId="7" borderId="29" xfId="0" applyFont="1" applyFill="1" applyBorder="1" applyAlignment="1">
      <alignment horizontal="center"/>
    </xf>
    <xf numFmtId="0" fontId="3" fillId="18" borderId="29" xfId="0" applyFont="1" applyFill="1" applyBorder="1" applyAlignment="1">
      <alignment horizontal="center"/>
    </xf>
    <xf numFmtId="0" fontId="3" fillId="10" borderId="29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15" borderId="29" xfId="0" applyFont="1" applyFill="1" applyBorder="1" applyAlignment="1">
      <alignment horizontal="center"/>
    </xf>
    <xf numFmtId="0" fontId="3" fillId="13" borderId="29" xfId="0" applyFont="1" applyFill="1" applyBorder="1" applyAlignment="1">
      <alignment horizontal="center"/>
    </xf>
    <xf numFmtId="0" fontId="3" fillId="11" borderId="29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3" fillId="13" borderId="0" xfId="0" applyFont="1" applyFill="1" applyBorder="1" applyAlignment="1" applyProtection="1">
      <alignment horizontal="center"/>
    </xf>
    <xf numFmtId="0" fontId="0" fillId="13" borderId="0" xfId="0" applyFill="1" applyBorder="1" applyAlignment="1" applyProtection="1">
      <alignment horizontal="center"/>
    </xf>
    <xf numFmtId="0" fontId="3" fillId="13" borderId="39" xfId="0" applyFont="1" applyFill="1" applyBorder="1" applyAlignment="1" applyProtection="1">
      <alignment horizontal="center"/>
    </xf>
    <xf numFmtId="0" fontId="3" fillId="13" borderId="14" xfId="0" applyFont="1" applyFill="1" applyBorder="1" applyAlignment="1" applyProtection="1">
      <alignment horizontal="center"/>
    </xf>
    <xf numFmtId="0" fontId="3" fillId="13" borderId="31" xfId="0" applyFont="1" applyFill="1" applyBorder="1" applyAlignment="1" applyProtection="1">
      <alignment horizontal="center"/>
    </xf>
    <xf numFmtId="0" fontId="3" fillId="14" borderId="14" xfId="0" applyFont="1" applyFill="1" applyBorder="1" applyAlignment="1" applyProtection="1">
      <alignment horizontal="center"/>
    </xf>
    <xf numFmtId="0" fontId="3" fillId="13" borderId="41" xfId="0" applyFont="1" applyFill="1" applyBorder="1" applyAlignment="1" applyProtection="1">
      <alignment horizontal="center"/>
    </xf>
    <xf numFmtId="0" fontId="3" fillId="0" borderId="40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31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14" borderId="5" xfId="0" applyFont="1" applyFill="1" applyBorder="1" applyAlignment="1" applyProtection="1">
      <alignment horizontal="center" vertical="center"/>
    </xf>
    <xf numFmtId="0" fontId="3" fillId="13" borderId="7" xfId="0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44" fontId="0" fillId="0" borderId="3" xfId="1" applyFont="1" applyBorder="1" applyAlignment="1" applyProtection="1">
      <alignment vertical="center"/>
    </xf>
    <xf numFmtId="0" fontId="3" fillId="0" borderId="1" xfId="0" applyFont="1" applyBorder="1" applyAlignment="1" applyProtection="1">
      <alignment horizontal="center" vertical="center"/>
    </xf>
    <xf numFmtId="44" fontId="0" fillId="0" borderId="1" xfId="1" applyFont="1" applyBorder="1" applyAlignment="1" applyProtection="1">
      <alignment vertical="center"/>
    </xf>
    <xf numFmtId="0" fontId="3" fillId="14" borderId="1" xfId="0" applyFont="1" applyFill="1" applyBorder="1" applyAlignment="1" applyProtection="1">
      <alignment horizontal="center" vertical="center"/>
    </xf>
    <xf numFmtId="44" fontId="0" fillId="14" borderId="1" xfId="1" applyFont="1" applyFill="1" applyBorder="1" applyAlignment="1" applyProtection="1">
      <alignment vertical="center"/>
    </xf>
    <xf numFmtId="0" fontId="3" fillId="13" borderId="8" xfId="0" applyFont="1" applyFill="1" applyBorder="1" applyAlignment="1" applyProtection="1">
      <alignment horizontal="center" vertical="center"/>
    </xf>
    <xf numFmtId="44" fontId="0" fillId="13" borderId="8" xfId="1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44" fontId="0" fillId="0" borderId="4" xfId="1" applyFon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44" fontId="0" fillId="0" borderId="6" xfId="1" applyFont="1" applyBorder="1" applyAlignment="1" applyProtection="1">
      <alignment vertical="center"/>
    </xf>
    <xf numFmtId="0" fontId="0" fillId="14" borderId="1" xfId="0" applyFill="1" applyBorder="1" applyAlignment="1" applyProtection="1">
      <alignment vertical="center"/>
    </xf>
    <xf numFmtId="44" fontId="0" fillId="14" borderId="6" xfId="1" applyFont="1" applyFill="1" applyBorder="1" applyAlignment="1" applyProtection="1">
      <alignment vertical="center"/>
    </xf>
    <xf numFmtId="0" fontId="0" fillId="13" borderId="13" xfId="0" applyFill="1" applyBorder="1" applyAlignment="1" applyProtection="1">
      <alignment vertical="center"/>
    </xf>
    <xf numFmtId="44" fontId="0" fillId="13" borderId="22" xfId="1" applyFont="1" applyFill="1" applyBorder="1" applyAlignment="1" applyProtection="1">
      <alignment vertical="center"/>
    </xf>
    <xf numFmtId="0" fontId="3" fillId="13" borderId="5" xfId="0" applyFont="1" applyFill="1" applyBorder="1" applyAlignment="1" applyProtection="1">
      <alignment horizontal="center" vertical="center"/>
    </xf>
    <xf numFmtId="0" fontId="3" fillId="13" borderId="21" xfId="0" applyFont="1" applyFill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3" fillId="13" borderId="1" xfId="0" applyFont="1" applyFill="1" applyBorder="1" applyAlignment="1" applyProtection="1">
      <alignment horizontal="center" vertical="center"/>
    </xf>
    <xf numFmtId="44" fontId="0" fillId="13" borderId="1" xfId="1" applyFont="1" applyFill="1" applyBorder="1" applyAlignment="1" applyProtection="1">
      <alignment vertical="center"/>
    </xf>
    <xf numFmtId="0" fontId="0" fillId="13" borderId="1" xfId="0" applyFill="1" applyBorder="1" applyAlignment="1" applyProtection="1">
      <alignment vertical="center"/>
    </xf>
    <xf numFmtId="0" fontId="0" fillId="13" borderId="11" xfId="0" applyFill="1" applyBorder="1" applyAlignment="1" applyProtection="1">
      <alignment vertical="center"/>
    </xf>
    <xf numFmtId="44" fontId="0" fillId="13" borderId="6" xfId="1" applyFont="1" applyFill="1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3" fillId="13" borderId="13" xfId="0" applyFont="1" applyFill="1" applyBorder="1" applyAlignment="1" applyProtection="1">
      <alignment horizontal="center" vertical="center"/>
    </xf>
    <xf numFmtId="44" fontId="0" fillId="13" borderId="13" xfId="1" applyFont="1" applyFill="1" applyBorder="1" applyAlignment="1" applyProtection="1">
      <alignment vertical="center"/>
    </xf>
    <xf numFmtId="0" fontId="0" fillId="13" borderId="15" xfId="0" applyFill="1" applyBorder="1" applyAlignment="1" applyProtection="1">
      <alignment vertical="center"/>
    </xf>
    <xf numFmtId="0" fontId="3" fillId="0" borderId="8" xfId="0" applyFont="1" applyBorder="1" applyAlignment="1" applyProtection="1">
      <alignment horizontal="center" vertical="center"/>
    </xf>
    <xf numFmtId="44" fontId="0" fillId="0" borderId="8" xfId="1" applyFont="1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44" fontId="0" fillId="0" borderId="9" xfId="1" applyFont="1" applyBorder="1" applyAlignment="1" applyProtection="1">
      <alignment vertical="center"/>
    </xf>
    <xf numFmtId="0" fontId="3" fillId="13" borderId="17" xfId="0" applyFont="1" applyFill="1" applyBorder="1" applyAlignment="1" applyProtection="1">
      <alignment horizontal="center" vertical="center"/>
    </xf>
    <xf numFmtId="164" fontId="0" fillId="0" borderId="4" xfId="1" applyNumberFormat="1" applyFont="1" applyBorder="1" applyAlignment="1" applyProtection="1">
      <alignment vertical="center"/>
    </xf>
    <xf numFmtId="0" fontId="3" fillId="13" borderId="18" xfId="0" applyFont="1" applyFill="1" applyBorder="1" applyAlignment="1" applyProtection="1">
      <alignment horizontal="center" vertical="center"/>
    </xf>
    <xf numFmtId="44" fontId="0" fillId="13" borderId="18" xfId="1" applyFont="1" applyFill="1" applyBorder="1" applyAlignment="1" applyProtection="1">
      <alignment vertical="center"/>
    </xf>
    <xf numFmtId="0" fontId="0" fillId="13" borderId="18" xfId="0" applyFill="1" applyBorder="1" applyAlignment="1" applyProtection="1">
      <alignment vertical="center"/>
    </xf>
    <xf numFmtId="0" fontId="0" fillId="13" borderId="19" xfId="0" applyFill="1" applyBorder="1" applyAlignment="1" applyProtection="1">
      <alignment vertical="center"/>
    </xf>
    <xf numFmtId="164" fontId="0" fillId="13" borderId="20" xfId="1" applyNumberFormat="1" applyFont="1" applyFill="1" applyBorder="1" applyAlignment="1" applyProtection="1">
      <alignment vertical="center"/>
    </xf>
    <xf numFmtId="164" fontId="0" fillId="0" borderId="6" xfId="1" applyNumberFormat="1" applyFont="1" applyBorder="1" applyAlignment="1" applyProtection="1">
      <alignment vertical="center"/>
    </xf>
    <xf numFmtId="164" fontId="0" fillId="13" borderId="6" xfId="1" applyNumberFormat="1" applyFont="1" applyFill="1" applyBorder="1" applyAlignment="1" applyProtection="1">
      <alignment vertical="center"/>
    </xf>
    <xf numFmtId="0" fontId="0" fillId="14" borderId="11" xfId="0" applyFill="1" applyBorder="1" applyAlignment="1" applyProtection="1">
      <alignment vertical="center"/>
    </xf>
    <xf numFmtId="164" fontId="0" fillId="14" borderId="6" xfId="1" applyNumberFormat="1" applyFont="1" applyFill="1" applyBorder="1" applyAlignment="1" applyProtection="1">
      <alignment vertical="center"/>
    </xf>
    <xf numFmtId="164" fontId="0" fillId="13" borderId="22" xfId="1" applyNumberFormat="1" applyFont="1" applyFill="1" applyBorder="1" applyAlignment="1" applyProtection="1">
      <alignment vertical="center"/>
    </xf>
    <xf numFmtId="0" fontId="15" fillId="2" borderId="3" xfId="0" applyFont="1" applyFill="1" applyBorder="1" applyAlignment="1" applyProtection="1">
      <alignment vertical="center"/>
      <protection locked="0"/>
    </xf>
    <xf numFmtId="0" fontId="15" fillId="3" borderId="3" xfId="0" applyFont="1" applyFill="1" applyBorder="1" applyAlignment="1" applyProtection="1">
      <alignment vertical="center"/>
      <protection locked="0"/>
    </xf>
    <xf numFmtId="0" fontId="15" fillId="4" borderId="3" xfId="0" applyFont="1" applyFill="1" applyBorder="1" applyAlignment="1" applyProtection="1">
      <alignment vertical="center"/>
      <protection locked="0"/>
    </xf>
    <xf numFmtId="0" fontId="16" fillId="16" borderId="3" xfId="0" applyFont="1" applyFill="1" applyBorder="1" applyAlignment="1" applyProtection="1">
      <alignment vertical="center"/>
      <protection locked="0"/>
    </xf>
    <xf numFmtId="0" fontId="15" fillId="5" borderId="3" xfId="0" applyFont="1" applyFill="1" applyBorder="1" applyAlignment="1" applyProtection="1">
      <alignment vertical="center"/>
      <protection locked="0"/>
    </xf>
    <xf numFmtId="0" fontId="15" fillId="7" borderId="3" xfId="0" applyFont="1" applyFill="1" applyBorder="1" applyAlignment="1" applyProtection="1">
      <alignment vertical="center"/>
      <protection locked="0"/>
    </xf>
    <xf numFmtId="0" fontId="15" fillId="18" borderId="3" xfId="0" applyFont="1" applyFill="1" applyBorder="1" applyAlignment="1" applyProtection="1">
      <alignment vertical="center"/>
      <protection locked="0"/>
    </xf>
    <xf numFmtId="0" fontId="15" fillId="10" borderId="3" xfId="0" applyFont="1" applyFill="1" applyBorder="1" applyAlignment="1" applyProtection="1">
      <alignment vertical="center"/>
      <protection locked="0"/>
    </xf>
    <xf numFmtId="0" fontId="15" fillId="8" borderId="3" xfId="0" applyFont="1" applyFill="1" applyBorder="1" applyAlignment="1" applyProtection="1">
      <alignment vertical="center"/>
      <protection locked="0"/>
    </xf>
    <xf numFmtId="0" fontId="15" fillId="6" borderId="3" xfId="0" applyFont="1" applyFill="1" applyBorder="1" applyAlignment="1" applyProtection="1">
      <alignment vertical="center"/>
      <protection locked="0"/>
    </xf>
    <xf numFmtId="0" fontId="15" fillId="9" borderId="3" xfId="0" applyFont="1" applyFill="1" applyBorder="1" applyAlignment="1" applyProtection="1">
      <alignment vertical="center"/>
      <protection locked="0"/>
    </xf>
    <xf numFmtId="0" fontId="15" fillId="13" borderId="3" xfId="0" applyFont="1" applyFill="1" applyBorder="1" applyAlignment="1" applyProtection="1">
      <alignment vertical="center"/>
      <protection locked="0"/>
    </xf>
    <xf numFmtId="0" fontId="15" fillId="11" borderId="3" xfId="0" applyFont="1" applyFill="1" applyBorder="1" applyAlignment="1" applyProtection="1">
      <alignment vertical="center"/>
      <protection locked="0"/>
    </xf>
    <xf numFmtId="0" fontId="15" fillId="2" borderId="1" xfId="0" applyFont="1" applyFill="1" applyBorder="1" applyAlignment="1" applyProtection="1">
      <alignment vertical="center"/>
      <protection locked="0"/>
    </xf>
    <xf numFmtId="0" fontId="15" fillId="3" borderId="1" xfId="0" applyFont="1" applyFill="1" applyBorder="1" applyAlignment="1" applyProtection="1">
      <alignment vertical="center"/>
      <protection locked="0"/>
    </xf>
    <xf numFmtId="0" fontId="15" fillId="4" borderId="1" xfId="0" applyFont="1" applyFill="1" applyBorder="1" applyAlignment="1" applyProtection="1">
      <alignment vertical="center"/>
      <protection locked="0"/>
    </xf>
    <xf numFmtId="0" fontId="16" fillId="16" borderId="1" xfId="0" applyFont="1" applyFill="1" applyBorder="1" applyAlignment="1" applyProtection="1">
      <alignment vertical="center"/>
      <protection locked="0"/>
    </xf>
    <xf numFmtId="0" fontId="15" fillId="5" borderId="1" xfId="0" applyFont="1" applyFill="1" applyBorder="1" applyAlignment="1" applyProtection="1">
      <alignment vertical="center"/>
      <protection locked="0"/>
    </xf>
    <xf numFmtId="0" fontId="15" fillId="7" borderId="1" xfId="0" applyFont="1" applyFill="1" applyBorder="1" applyAlignment="1" applyProtection="1">
      <alignment vertical="center"/>
      <protection locked="0"/>
    </xf>
    <xf numFmtId="0" fontId="15" fillId="18" borderId="1" xfId="0" applyFont="1" applyFill="1" applyBorder="1" applyAlignment="1" applyProtection="1">
      <alignment vertical="center"/>
      <protection locked="0"/>
    </xf>
    <xf numFmtId="0" fontId="15" fillId="10" borderId="1" xfId="0" applyFont="1" applyFill="1" applyBorder="1" applyAlignment="1" applyProtection="1">
      <alignment vertical="center"/>
      <protection locked="0"/>
    </xf>
    <xf numFmtId="0" fontId="15" fillId="8" borderId="1" xfId="0" applyFont="1" applyFill="1" applyBorder="1" applyAlignment="1" applyProtection="1">
      <alignment vertical="center"/>
      <protection locked="0"/>
    </xf>
    <xf numFmtId="0" fontId="15" fillId="6" borderId="1" xfId="0" applyFont="1" applyFill="1" applyBorder="1" applyAlignment="1" applyProtection="1">
      <alignment vertical="center"/>
      <protection locked="0"/>
    </xf>
    <xf numFmtId="0" fontId="15" fillId="9" borderId="1" xfId="0" applyFont="1" applyFill="1" applyBorder="1" applyAlignment="1" applyProtection="1">
      <alignment vertical="center"/>
      <protection locked="0"/>
    </xf>
    <xf numFmtId="0" fontId="15" fillId="13" borderId="1" xfId="0" applyFont="1" applyFill="1" applyBorder="1" applyAlignment="1" applyProtection="1">
      <alignment vertical="center"/>
      <protection locked="0"/>
    </xf>
    <xf numFmtId="0" fontId="15" fillId="11" borderId="1" xfId="0" applyFont="1" applyFill="1" applyBorder="1" applyAlignment="1" applyProtection="1">
      <alignment vertical="center"/>
      <protection locked="0"/>
    </xf>
    <xf numFmtId="0" fontId="15" fillId="2" borderId="13" xfId="0" applyFont="1" applyFill="1" applyBorder="1" applyAlignment="1" applyProtection="1">
      <alignment vertical="center"/>
      <protection locked="0"/>
    </xf>
    <xf numFmtId="0" fontId="15" fillId="3" borderId="13" xfId="0" applyFont="1" applyFill="1" applyBorder="1" applyAlignment="1" applyProtection="1">
      <alignment vertical="center"/>
      <protection locked="0"/>
    </xf>
    <xf numFmtId="0" fontId="15" fillId="4" borderId="13" xfId="0" applyFont="1" applyFill="1" applyBorder="1" applyAlignment="1" applyProtection="1">
      <alignment vertical="center"/>
      <protection locked="0"/>
    </xf>
    <xf numFmtId="0" fontId="16" fillId="16" borderId="13" xfId="0" applyFont="1" applyFill="1" applyBorder="1" applyAlignment="1" applyProtection="1">
      <alignment vertical="center"/>
      <protection locked="0"/>
    </xf>
    <xf numFmtId="0" fontId="15" fillId="5" borderId="13" xfId="0" applyFont="1" applyFill="1" applyBorder="1" applyAlignment="1" applyProtection="1">
      <alignment vertical="center"/>
      <protection locked="0"/>
    </xf>
    <xf numFmtId="0" fontId="15" fillId="7" borderId="13" xfId="0" applyFont="1" applyFill="1" applyBorder="1" applyAlignment="1" applyProtection="1">
      <alignment vertical="center"/>
      <protection locked="0"/>
    </xf>
    <xf numFmtId="0" fontId="15" fillId="18" borderId="13" xfId="0" applyFont="1" applyFill="1" applyBorder="1" applyAlignment="1" applyProtection="1">
      <alignment vertical="center"/>
      <protection locked="0"/>
    </xf>
    <xf numFmtId="0" fontId="15" fillId="10" borderId="13" xfId="0" applyFont="1" applyFill="1" applyBorder="1" applyAlignment="1" applyProtection="1">
      <alignment vertical="center"/>
      <protection locked="0"/>
    </xf>
    <xf numFmtId="0" fontId="15" fillId="8" borderId="13" xfId="0" applyFont="1" applyFill="1" applyBorder="1" applyAlignment="1" applyProtection="1">
      <alignment vertical="center"/>
      <protection locked="0"/>
    </xf>
    <xf numFmtId="0" fontId="15" fillId="6" borderId="13" xfId="0" applyFont="1" applyFill="1" applyBorder="1" applyAlignment="1" applyProtection="1">
      <alignment vertical="center"/>
      <protection locked="0"/>
    </xf>
    <xf numFmtId="0" fontId="15" fillId="9" borderId="13" xfId="0" applyFont="1" applyFill="1" applyBorder="1" applyAlignment="1" applyProtection="1">
      <alignment vertical="center"/>
      <protection locked="0"/>
    </xf>
    <xf numFmtId="0" fontId="15" fillId="13" borderId="13" xfId="0" applyFont="1" applyFill="1" applyBorder="1" applyAlignment="1" applyProtection="1">
      <alignment vertical="center"/>
      <protection locked="0"/>
    </xf>
    <xf numFmtId="0" fontId="15" fillId="11" borderId="13" xfId="0" applyFont="1" applyFill="1" applyBorder="1" applyAlignment="1" applyProtection="1">
      <alignment vertical="center"/>
      <protection locked="0"/>
    </xf>
    <xf numFmtId="0" fontId="15" fillId="2" borderId="8" xfId="0" applyFont="1" applyFill="1" applyBorder="1" applyAlignment="1" applyProtection="1">
      <alignment vertical="center"/>
      <protection locked="0"/>
    </xf>
    <xf numFmtId="0" fontId="15" fillId="3" borderId="8" xfId="0" applyFont="1" applyFill="1" applyBorder="1" applyAlignment="1" applyProtection="1">
      <alignment vertical="center"/>
      <protection locked="0"/>
    </xf>
    <xf numFmtId="0" fontId="15" fillId="4" borderId="8" xfId="0" applyFont="1" applyFill="1" applyBorder="1" applyAlignment="1" applyProtection="1">
      <alignment vertical="center"/>
      <protection locked="0"/>
    </xf>
    <xf numFmtId="0" fontId="16" fillId="16" borderId="8" xfId="0" applyFont="1" applyFill="1" applyBorder="1" applyAlignment="1" applyProtection="1">
      <alignment vertical="center"/>
      <protection locked="0"/>
    </xf>
    <xf numFmtId="0" fontId="15" fillId="5" borderId="8" xfId="0" applyFont="1" applyFill="1" applyBorder="1" applyAlignment="1" applyProtection="1">
      <alignment vertical="center"/>
      <protection locked="0"/>
    </xf>
    <xf numFmtId="0" fontId="15" fillId="7" borderId="8" xfId="0" applyFont="1" applyFill="1" applyBorder="1" applyAlignment="1" applyProtection="1">
      <alignment vertical="center"/>
      <protection locked="0"/>
    </xf>
    <xf numFmtId="0" fontId="15" fillId="18" borderId="8" xfId="0" applyFont="1" applyFill="1" applyBorder="1" applyAlignment="1" applyProtection="1">
      <alignment vertical="center"/>
      <protection locked="0"/>
    </xf>
    <xf numFmtId="0" fontId="15" fillId="10" borderId="8" xfId="0" applyFont="1" applyFill="1" applyBorder="1" applyAlignment="1" applyProtection="1">
      <alignment vertical="center"/>
      <protection locked="0"/>
    </xf>
    <xf numFmtId="0" fontId="15" fillId="8" borderId="8" xfId="0" applyFont="1" applyFill="1" applyBorder="1" applyAlignment="1" applyProtection="1">
      <alignment vertical="center"/>
      <protection locked="0"/>
    </xf>
    <xf numFmtId="0" fontId="15" fillId="6" borderId="8" xfId="0" applyFont="1" applyFill="1" applyBorder="1" applyAlignment="1" applyProtection="1">
      <alignment vertical="center"/>
      <protection locked="0"/>
    </xf>
    <xf numFmtId="0" fontId="15" fillId="9" borderId="8" xfId="0" applyFont="1" applyFill="1" applyBorder="1" applyAlignment="1" applyProtection="1">
      <alignment vertical="center"/>
      <protection locked="0"/>
    </xf>
    <xf numFmtId="0" fontId="15" fillId="13" borderId="8" xfId="0" applyFont="1" applyFill="1" applyBorder="1" applyAlignment="1" applyProtection="1">
      <alignment vertical="center"/>
      <protection locked="0"/>
    </xf>
    <xf numFmtId="0" fontId="15" fillId="11" borderId="8" xfId="0" applyFont="1" applyFill="1" applyBorder="1" applyAlignment="1" applyProtection="1">
      <alignment vertical="center"/>
      <protection locked="0"/>
    </xf>
    <xf numFmtId="0" fontId="15" fillId="2" borderId="18" xfId="0" applyFont="1" applyFill="1" applyBorder="1" applyAlignment="1" applyProtection="1">
      <alignment vertical="center"/>
      <protection locked="0"/>
    </xf>
    <xf numFmtId="0" fontId="15" fillId="3" borderId="18" xfId="0" applyFont="1" applyFill="1" applyBorder="1" applyAlignment="1" applyProtection="1">
      <alignment vertical="center"/>
      <protection locked="0"/>
    </xf>
    <xf numFmtId="0" fontId="15" fillId="4" borderId="18" xfId="0" applyFont="1" applyFill="1" applyBorder="1" applyAlignment="1" applyProtection="1">
      <alignment vertical="center"/>
      <protection locked="0"/>
    </xf>
    <xf numFmtId="0" fontId="16" fillId="16" borderId="18" xfId="0" applyFont="1" applyFill="1" applyBorder="1" applyAlignment="1" applyProtection="1">
      <alignment vertical="center"/>
      <protection locked="0"/>
    </xf>
    <xf numFmtId="0" fontId="15" fillId="5" borderId="18" xfId="0" applyFont="1" applyFill="1" applyBorder="1" applyAlignment="1" applyProtection="1">
      <alignment vertical="center"/>
      <protection locked="0"/>
    </xf>
    <xf numFmtId="0" fontId="15" fillId="7" borderId="18" xfId="0" applyFont="1" applyFill="1" applyBorder="1" applyAlignment="1" applyProtection="1">
      <alignment vertical="center"/>
      <protection locked="0"/>
    </xf>
    <xf numFmtId="0" fontId="15" fillId="18" borderId="18" xfId="0" applyFont="1" applyFill="1" applyBorder="1" applyAlignment="1" applyProtection="1">
      <alignment vertical="center"/>
      <protection locked="0"/>
    </xf>
    <xf numFmtId="0" fontId="15" fillId="10" borderId="18" xfId="0" applyFont="1" applyFill="1" applyBorder="1" applyAlignment="1" applyProtection="1">
      <alignment vertical="center"/>
      <protection locked="0"/>
    </xf>
    <xf numFmtId="0" fontId="15" fillId="8" borderId="18" xfId="0" applyFont="1" applyFill="1" applyBorder="1" applyAlignment="1" applyProtection="1">
      <alignment vertical="center"/>
      <protection locked="0"/>
    </xf>
    <xf numFmtId="0" fontId="15" fillId="6" borderId="18" xfId="0" applyFont="1" applyFill="1" applyBorder="1" applyAlignment="1" applyProtection="1">
      <alignment vertical="center"/>
      <protection locked="0"/>
    </xf>
    <xf numFmtId="0" fontId="15" fillId="9" borderId="18" xfId="0" applyFont="1" applyFill="1" applyBorder="1" applyAlignment="1" applyProtection="1">
      <alignment vertical="center"/>
      <protection locked="0"/>
    </xf>
    <xf numFmtId="0" fontId="15" fillId="13" borderId="18" xfId="0" applyFont="1" applyFill="1" applyBorder="1" applyAlignment="1" applyProtection="1">
      <alignment vertical="center"/>
      <protection locked="0"/>
    </xf>
    <xf numFmtId="0" fontId="15" fillId="11" borderId="18" xfId="0" applyFont="1" applyFill="1" applyBorder="1" applyAlignment="1" applyProtection="1">
      <alignment vertical="center"/>
      <protection locked="0"/>
    </xf>
    <xf numFmtId="0" fontId="15" fillId="12" borderId="1" xfId="0" applyFont="1" applyFill="1" applyBorder="1" applyAlignment="1" applyProtection="1">
      <alignment vertical="center"/>
      <protection locked="0"/>
    </xf>
    <xf numFmtId="0" fontId="15" fillId="2" borderId="0" xfId="0" applyFont="1" applyFill="1" applyBorder="1" applyAlignment="1" applyProtection="1">
      <alignment vertical="center"/>
      <protection locked="0"/>
    </xf>
    <xf numFmtId="0" fontId="15" fillId="12" borderId="13" xfId="0" applyFont="1" applyFill="1" applyBorder="1" applyAlignment="1" applyProtection="1">
      <alignment vertical="center"/>
      <protection locked="0"/>
    </xf>
    <xf numFmtId="0" fontId="15" fillId="12" borderId="18" xfId="0" applyFont="1" applyFill="1" applyBorder="1" applyAlignment="1" applyProtection="1">
      <alignment vertical="center"/>
      <protection locked="0"/>
    </xf>
    <xf numFmtId="0" fontId="10" fillId="13" borderId="1" xfId="0" applyFont="1" applyFill="1" applyBorder="1" applyProtection="1"/>
    <xf numFmtId="0" fontId="3" fillId="0" borderId="2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/>
    </xf>
    <xf numFmtId="0" fontId="3" fillId="0" borderId="29" xfId="0" applyFont="1" applyBorder="1" applyAlignment="1" applyProtection="1">
      <alignment horizontal="center"/>
    </xf>
    <xf numFmtId="0" fontId="0" fillId="0" borderId="0" xfId="0" applyProtection="1">
      <protection locked="0"/>
    </xf>
    <xf numFmtId="0" fontId="3" fillId="0" borderId="0" xfId="0" applyFont="1" applyBorder="1" applyAlignment="1" applyProtection="1">
      <alignment horizontal="center"/>
    </xf>
    <xf numFmtId="0" fontId="0" fillId="0" borderId="0" xfId="0" applyProtection="1"/>
    <xf numFmtId="0" fontId="0" fillId="2" borderId="28" xfId="0" applyFill="1" applyBorder="1" applyAlignment="1" applyProtection="1">
      <alignment horizontal="center"/>
    </xf>
    <xf numFmtId="0" fontId="0" fillId="3" borderId="29" xfId="0" applyFill="1" applyBorder="1" applyAlignment="1" applyProtection="1">
      <alignment horizontal="center"/>
    </xf>
    <xf numFmtId="0" fontId="0" fillId="4" borderId="29" xfId="0" applyFill="1" applyBorder="1" applyAlignment="1" applyProtection="1">
      <alignment horizontal="center"/>
    </xf>
    <xf numFmtId="0" fontId="4" fillId="16" borderId="29" xfId="0" applyFont="1" applyFill="1" applyBorder="1" applyAlignment="1" applyProtection="1">
      <alignment horizontal="center"/>
    </xf>
    <xf numFmtId="0" fontId="0" fillId="5" borderId="29" xfId="0" applyFill="1" applyBorder="1" applyAlignment="1" applyProtection="1">
      <alignment horizontal="center"/>
    </xf>
    <xf numFmtId="0" fontId="0" fillId="17" borderId="29" xfId="0" applyFill="1" applyBorder="1" applyAlignment="1" applyProtection="1">
      <alignment horizontal="center"/>
    </xf>
    <xf numFmtId="0" fontId="0" fillId="18" borderId="29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0" fontId="0" fillId="8" borderId="29" xfId="0" applyFill="1" applyBorder="1" applyAlignment="1" applyProtection="1">
      <alignment horizontal="center"/>
    </xf>
    <xf numFmtId="0" fontId="0" fillId="6" borderId="29" xfId="0" applyFill="1" applyBorder="1" applyAlignment="1" applyProtection="1">
      <alignment horizontal="center"/>
    </xf>
    <xf numFmtId="0" fontId="0" fillId="9" borderId="29" xfId="0" applyFill="1" applyBorder="1" applyAlignment="1" applyProtection="1">
      <alignment horizontal="center"/>
    </xf>
    <xf numFmtId="0" fontId="0" fillId="13" borderId="29" xfId="0" applyFill="1" applyBorder="1" applyAlignment="1" applyProtection="1">
      <alignment horizontal="center"/>
    </xf>
    <xf numFmtId="0" fontId="0" fillId="11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44" fontId="0" fillId="0" borderId="1" xfId="1" applyFont="1" applyBorder="1" applyAlignment="1" applyProtection="1">
      <alignment horizontal="center"/>
    </xf>
    <xf numFmtId="0" fontId="4" fillId="13" borderId="0" xfId="0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4" fontId="0" fillId="0" borderId="0" xfId="1" applyFont="1" applyAlignment="1" applyProtection="1">
      <alignment horizontal="center"/>
    </xf>
    <xf numFmtId="0" fontId="0" fillId="7" borderId="29" xfId="0" applyFill="1" applyBorder="1" applyAlignment="1" applyProtection="1">
      <alignment horizontal="center"/>
    </xf>
    <xf numFmtId="0" fontId="0" fillId="11" borderId="30" xfId="0" applyFill="1" applyBorder="1" applyAlignment="1" applyProtection="1">
      <alignment horizontal="center"/>
    </xf>
    <xf numFmtId="0" fontId="3" fillId="13" borderId="2" xfId="0" applyFont="1" applyFill="1" applyBorder="1" applyAlignment="1" applyProtection="1">
      <alignment horizontal="center" vertical="center"/>
    </xf>
    <xf numFmtId="0" fontId="3" fillId="13" borderId="40" xfId="0" applyFont="1" applyFill="1" applyBorder="1" applyAlignment="1" applyProtection="1">
      <alignment horizontal="center"/>
    </xf>
    <xf numFmtId="0" fontId="3" fillId="13" borderId="3" xfId="0" applyFont="1" applyFill="1" applyBorder="1" applyAlignment="1" applyProtection="1">
      <alignment horizontal="center" vertical="center"/>
    </xf>
    <xf numFmtId="44" fontId="0" fillId="13" borderId="3" xfId="1" applyFont="1" applyFill="1" applyBorder="1" applyAlignment="1" applyProtection="1">
      <alignment vertical="center"/>
    </xf>
    <xf numFmtId="0" fontId="0" fillId="13" borderId="3" xfId="0" applyFill="1" applyBorder="1" applyAlignment="1" applyProtection="1">
      <alignment vertical="center"/>
    </xf>
    <xf numFmtId="164" fontId="0" fillId="13" borderId="4" xfId="1" applyNumberFormat="1" applyFont="1" applyFill="1" applyBorder="1" applyAlignment="1" applyProtection="1">
      <alignment vertical="center"/>
    </xf>
    <xf numFmtId="0" fontId="0" fillId="13" borderId="1" xfId="0" applyFill="1" applyBorder="1" applyAlignment="1" applyProtection="1">
      <alignment vertical="center"/>
      <protection locked="0"/>
    </xf>
    <xf numFmtId="0" fontId="3" fillId="13" borderId="2" xfId="0" applyFont="1" applyFill="1" applyBorder="1" applyAlignment="1" applyProtection="1">
      <alignment horizontal="center"/>
    </xf>
    <xf numFmtId="0" fontId="3" fillId="13" borderId="3" xfId="0" applyFont="1" applyFill="1" applyBorder="1" applyAlignment="1" applyProtection="1">
      <alignment horizontal="center"/>
    </xf>
    <xf numFmtId="0" fontId="0" fillId="13" borderId="3" xfId="0" applyFill="1" applyBorder="1" applyProtection="1"/>
    <xf numFmtId="164" fontId="0" fillId="13" borderId="3" xfId="0" applyNumberFormat="1" applyFill="1" applyBorder="1" applyProtection="1"/>
    <xf numFmtId="164" fontId="0" fillId="14" borderId="1" xfId="0" applyNumberFormat="1" applyFill="1" applyBorder="1" applyProtection="1"/>
    <xf numFmtId="164" fontId="0" fillId="14" borderId="8" xfId="0" applyNumberFormat="1" applyFill="1" applyBorder="1" applyProtection="1"/>
    <xf numFmtId="164" fontId="0" fillId="13" borderId="4" xfId="0" applyNumberFormat="1" applyFill="1" applyBorder="1" applyProtection="1"/>
    <xf numFmtId="164" fontId="0" fillId="13" borderId="6" xfId="0" applyNumberFormat="1" applyFill="1" applyBorder="1" applyProtection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 vertical="center"/>
      <protection locked="0"/>
    </xf>
    <xf numFmtId="0" fontId="4" fillId="16" borderId="3" xfId="0" applyFont="1" applyFill="1" applyBorder="1" applyAlignment="1" applyProtection="1">
      <alignment horizontal="center" vertical="center"/>
      <protection locked="0"/>
    </xf>
    <xf numFmtId="0" fontId="4" fillId="16" borderId="1" xfId="0" applyFont="1" applyFill="1" applyBorder="1" applyAlignment="1" applyProtection="1">
      <alignment horizontal="center" vertical="center"/>
      <protection locked="0"/>
    </xf>
    <xf numFmtId="0" fontId="4" fillId="16" borderId="8" xfId="0" applyFont="1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0" fontId="0" fillId="7" borderId="8" xfId="0" applyFill="1" applyBorder="1" applyAlignment="1" applyProtection="1">
      <alignment horizontal="center" vertical="center"/>
      <protection locked="0"/>
    </xf>
    <xf numFmtId="0" fontId="0" fillId="18" borderId="3" xfId="0" applyFill="1" applyBorder="1" applyAlignment="1" applyProtection="1">
      <alignment horizontal="center" vertical="center"/>
      <protection locked="0"/>
    </xf>
    <xf numFmtId="0" fontId="0" fillId="18" borderId="1" xfId="0" applyFill="1" applyBorder="1" applyAlignment="1" applyProtection="1">
      <alignment horizontal="center" vertical="center"/>
      <protection locked="0"/>
    </xf>
    <xf numFmtId="0" fontId="0" fillId="18" borderId="8" xfId="0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0" fontId="0" fillId="10" borderId="1" xfId="0" applyFill="1" applyBorder="1" applyAlignment="1" applyProtection="1">
      <alignment horizontal="center" vertical="center"/>
      <protection locked="0"/>
    </xf>
    <xf numFmtId="0" fontId="0" fillId="10" borderId="8" xfId="0" applyFill="1" applyBorder="1" applyAlignment="1" applyProtection="1">
      <alignment horizontal="center" vertical="center"/>
      <protection locked="0"/>
    </xf>
    <xf numFmtId="0" fontId="0" fillId="9" borderId="3" xfId="0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8" xfId="0" applyFill="1" applyBorder="1" applyAlignment="1" applyProtection="1">
      <alignment horizontal="center"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0" fontId="4" fillId="13" borderId="1" xfId="0" applyFont="1" applyFill="1" applyBorder="1" applyAlignment="1" applyProtection="1">
      <alignment horizontal="center" vertical="center"/>
      <protection locked="0"/>
    </xf>
    <xf numFmtId="164" fontId="0" fillId="0" borderId="3" xfId="1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8" xfId="0" applyNumberFormat="1" applyBorder="1" applyAlignment="1">
      <alignment vertical="center"/>
    </xf>
    <xf numFmtId="0" fontId="0" fillId="13" borderId="0" xfId="0" applyFill="1" applyBorder="1" applyAlignment="1" applyProtection="1">
      <alignment horizontal="center"/>
    </xf>
    <xf numFmtId="0" fontId="9" fillId="13" borderId="0" xfId="0" applyFont="1" applyFill="1" applyBorder="1"/>
    <xf numFmtId="0" fontId="0" fillId="0" borderId="0" xfId="0" applyBorder="1" applyAlignment="1" applyProtection="1">
      <alignment horizontal="center"/>
    </xf>
    <xf numFmtId="44" fontId="0" fillId="0" borderId="0" xfId="1" applyFont="1" applyBorder="1" applyAlignment="1" applyProtection="1">
      <alignment horizontal="center"/>
    </xf>
    <xf numFmtId="0" fontId="0" fillId="11" borderId="29" xfId="0" applyFill="1" applyBorder="1" applyAlignment="1" applyProtection="1">
      <alignment horizontal="center"/>
    </xf>
    <xf numFmtId="0" fontId="0" fillId="0" borderId="29" xfId="0" applyBorder="1" applyAlignment="1" applyProtection="1">
      <alignment horizontal="center"/>
    </xf>
    <xf numFmtId="164" fontId="0" fillId="0" borderId="30" xfId="1" applyNumberFormat="1" applyFont="1" applyBorder="1" applyAlignment="1" applyProtection="1">
      <alignment horizontal="center"/>
    </xf>
    <xf numFmtId="0" fontId="0" fillId="0" borderId="13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164" fontId="3" fillId="0" borderId="30" xfId="0" applyNumberFormat="1" applyFont="1" applyBorder="1" applyAlignment="1">
      <alignment horizontal="center"/>
    </xf>
    <xf numFmtId="0" fontId="9" fillId="6" borderId="27" xfId="0" applyFont="1" applyFill="1" applyBorder="1"/>
    <xf numFmtId="0" fontId="9" fillId="3" borderId="27" xfId="0" applyFont="1" applyFill="1" applyBorder="1"/>
    <xf numFmtId="0" fontId="9" fillId="2" borderId="27" xfId="0" applyFont="1" applyFill="1" applyBorder="1"/>
    <xf numFmtId="0" fontId="9" fillId="4" borderId="27" xfId="0" applyFont="1" applyFill="1" applyBorder="1"/>
    <xf numFmtId="0" fontId="18" fillId="11" borderId="27" xfId="0" applyFont="1" applyFill="1" applyBorder="1"/>
    <xf numFmtId="0" fontId="9" fillId="8" borderId="27" xfId="0" applyFont="1" applyFill="1" applyBorder="1"/>
    <xf numFmtId="0" fontId="12" fillId="0" borderId="0" xfId="0" applyFont="1" applyAlignment="1">
      <alignment horizontal="center"/>
    </xf>
    <xf numFmtId="0" fontId="17" fillId="13" borderId="0" xfId="0" applyFont="1" applyFill="1" applyBorder="1" applyAlignment="1" applyProtection="1">
      <alignment horizontal="center"/>
    </xf>
    <xf numFmtId="0" fontId="5" fillId="0" borderId="0" xfId="0" applyFont="1" applyAlignment="1">
      <alignment horizontal="center"/>
    </xf>
    <xf numFmtId="0" fontId="3" fillId="13" borderId="16" xfId="0" applyFont="1" applyFill="1" applyBorder="1" applyAlignment="1">
      <alignment horizontal="center"/>
    </xf>
    <xf numFmtId="0" fontId="3" fillId="13" borderId="0" xfId="0" applyFont="1" applyFill="1" applyBorder="1" applyAlignment="1" applyProtection="1">
      <alignment horizontal="center"/>
    </xf>
    <xf numFmtId="0" fontId="0" fillId="13" borderId="0" xfId="0" applyFill="1" applyBorder="1" applyAlignment="1" applyProtection="1">
      <alignment horizontal="center"/>
    </xf>
    <xf numFmtId="44" fontId="3" fillId="0" borderId="24" xfId="0" applyNumberFormat="1" applyFont="1" applyBorder="1" applyAlignment="1">
      <alignment horizontal="center"/>
    </xf>
    <xf numFmtId="44" fontId="3" fillId="0" borderId="25" xfId="0" applyNumberFormat="1" applyFont="1" applyBorder="1" applyAlignment="1">
      <alignment horizontal="center"/>
    </xf>
    <xf numFmtId="0" fontId="0" fillId="19" borderId="23" xfId="0" applyFill="1" applyBorder="1" applyAlignment="1">
      <alignment horizontal="center"/>
    </xf>
    <xf numFmtId="0" fontId="0" fillId="19" borderId="24" xfId="0" applyFill="1" applyBorder="1" applyAlignment="1">
      <alignment horizontal="center"/>
    </xf>
    <xf numFmtId="0" fontId="0" fillId="19" borderId="25" xfId="0" applyFill="1" applyBorder="1" applyAlignment="1">
      <alignment horizontal="center"/>
    </xf>
    <xf numFmtId="0" fontId="9" fillId="20" borderId="42" xfId="0" applyFont="1" applyFill="1" applyBorder="1" applyAlignment="1">
      <alignment horizontal="center"/>
    </xf>
    <xf numFmtId="0" fontId="9" fillId="20" borderId="0" xfId="0" applyFont="1" applyFill="1" applyAlignment="1">
      <alignment horizontal="center"/>
    </xf>
    <xf numFmtId="0" fontId="14" fillId="20" borderId="0" xfId="0" applyFont="1" applyFill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1" xfId="0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0" fillId="0" borderId="28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0" xfId="0" applyBorder="1" applyProtection="1">
      <protection locked="0"/>
    </xf>
    <xf numFmtId="0" fontId="11" fillId="0" borderId="0" xfId="0" applyFont="1" applyAlignment="1">
      <alignment horizontal="center"/>
    </xf>
    <xf numFmtId="0" fontId="0" fillId="0" borderId="23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0" borderId="32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12" fillId="13" borderId="0" xfId="0" applyFont="1" applyFill="1" applyAlignment="1">
      <alignment horizontal="center"/>
    </xf>
    <xf numFmtId="0" fontId="0" fillId="13" borderId="0" xfId="0" applyFill="1" applyBorder="1" applyAlignment="1">
      <alignment horizontal="center"/>
    </xf>
    <xf numFmtId="0" fontId="5" fillId="13" borderId="0" xfId="0" applyFont="1" applyFill="1" applyAlignment="1" applyProtection="1">
      <alignment horizontal="center"/>
    </xf>
    <xf numFmtId="0" fontId="15" fillId="0" borderId="0" xfId="0" applyFont="1" applyAlignment="1">
      <alignment horizontal="center"/>
    </xf>
    <xf numFmtId="0" fontId="12" fillId="13" borderId="0" xfId="0" applyFont="1" applyFill="1" applyAlignment="1" applyProtection="1">
      <alignment horizontal="center"/>
    </xf>
    <xf numFmtId="0" fontId="13" fillId="13" borderId="0" xfId="0" applyFont="1" applyFill="1" applyAlignment="1" applyProtection="1">
      <alignment horizontal="center"/>
    </xf>
    <xf numFmtId="0" fontId="0" fillId="19" borderId="16" xfId="0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66FF"/>
      <color rgb="FFCC00FF"/>
      <color rgb="FFFF0066"/>
      <color rgb="FF66FF66"/>
      <color rgb="FF66FF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microsoft.com/office/2007/relationships/hdphoto" Target="../media/hdphoto2.wd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17.jpeg"/><Relationship Id="rId7" Type="http://schemas.openxmlformats.org/officeDocument/2006/relationships/image" Target="../media/image21.pn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10" Type="http://schemas.microsoft.com/office/2007/relationships/hdphoto" Target="../media/hdphoto4.wdp"/><Relationship Id="rId4" Type="http://schemas.openxmlformats.org/officeDocument/2006/relationships/image" Target="../media/image18.jpeg"/><Relationship Id="rId9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10" Type="http://schemas.openxmlformats.org/officeDocument/2006/relationships/image" Target="../media/image32.jpeg"/><Relationship Id="rId19" Type="http://schemas.openxmlformats.org/officeDocument/2006/relationships/image" Target="../media/image41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8.wdp"/><Relationship Id="rId13" Type="http://schemas.openxmlformats.org/officeDocument/2006/relationships/image" Target="../media/image48.png"/><Relationship Id="rId18" Type="http://schemas.microsoft.com/office/2007/relationships/hdphoto" Target="../media/hdphoto13.wdp"/><Relationship Id="rId26" Type="http://schemas.microsoft.com/office/2007/relationships/hdphoto" Target="../media/hdphoto17.wdp"/><Relationship Id="rId3" Type="http://schemas.openxmlformats.org/officeDocument/2006/relationships/image" Target="../media/image43.png"/><Relationship Id="rId21" Type="http://schemas.openxmlformats.org/officeDocument/2006/relationships/image" Target="../media/image52.png"/><Relationship Id="rId34" Type="http://schemas.microsoft.com/office/2007/relationships/hdphoto" Target="../media/hdphoto21.wdp"/><Relationship Id="rId7" Type="http://schemas.openxmlformats.org/officeDocument/2006/relationships/image" Target="../media/image45.png"/><Relationship Id="rId12" Type="http://schemas.microsoft.com/office/2007/relationships/hdphoto" Target="../media/hdphoto10.wdp"/><Relationship Id="rId17" Type="http://schemas.openxmlformats.org/officeDocument/2006/relationships/image" Target="../media/image50.png"/><Relationship Id="rId25" Type="http://schemas.openxmlformats.org/officeDocument/2006/relationships/image" Target="../media/image54.png"/><Relationship Id="rId33" Type="http://schemas.openxmlformats.org/officeDocument/2006/relationships/image" Target="../media/image58.png"/><Relationship Id="rId2" Type="http://schemas.microsoft.com/office/2007/relationships/hdphoto" Target="../media/hdphoto5.wdp"/><Relationship Id="rId16" Type="http://schemas.microsoft.com/office/2007/relationships/hdphoto" Target="../media/hdphoto12.wdp"/><Relationship Id="rId20" Type="http://schemas.microsoft.com/office/2007/relationships/hdphoto" Target="../media/hdphoto14.wdp"/><Relationship Id="rId29" Type="http://schemas.openxmlformats.org/officeDocument/2006/relationships/image" Target="../media/image56.png"/><Relationship Id="rId1" Type="http://schemas.openxmlformats.org/officeDocument/2006/relationships/image" Target="../media/image42.png"/><Relationship Id="rId6" Type="http://schemas.microsoft.com/office/2007/relationships/hdphoto" Target="../media/hdphoto7.wdp"/><Relationship Id="rId11" Type="http://schemas.openxmlformats.org/officeDocument/2006/relationships/image" Target="../media/image47.png"/><Relationship Id="rId24" Type="http://schemas.microsoft.com/office/2007/relationships/hdphoto" Target="../media/hdphoto16.wdp"/><Relationship Id="rId32" Type="http://schemas.microsoft.com/office/2007/relationships/hdphoto" Target="../media/hdphoto20.wdp"/><Relationship Id="rId5" Type="http://schemas.openxmlformats.org/officeDocument/2006/relationships/image" Target="../media/image44.png"/><Relationship Id="rId15" Type="http://schemas.openxmlformats.org/officeDocument/2006/relationships/image" Target="../media/image49.png"/><Relationship Id="rId23" Type="http://schemas.openxmlformats.org/officeDocument/2006/relationships/image" Target="../media/image53.png"/><Relationship Id="rId28" Type="http://schemas.microsoft.com/office/2007/relationships/hdphoto" Target="../media/hdphoto18.wdp"/><Relationship Id="rId10" Type="http://schemas.microsoft.com/office/2007/relationships/hdphoto" Target="../media/hdphoto9.wdp"/><Relationship Id="rId19" Type="http://schemas.openxmlformats.org/officeDocument/2006/relationships/image" Target="../media/image51.png"/><Relationship Id="rId31" Type="http://schemas.openxmlformats.org/officeDocument/2006/relationships/image" Target="../media/image57.png"/><Relationship Id="rId4" Type="http://schemas.microsoft.com/office/2007/relationships/hdphoto" Target="../media/hdphoto6.wdp"/><Relationship Id="rId9" Type="http://schemas.openxmlformats.org/officeDocument/2006/relationships/image" Target="../media/image46.png"/><Relationship Id="rId14" Type="http://schemas.microsoft.com/office/2007/relationships/hdphoto" Target="../media/hdphoto11.wdp"/><Relationship Id="rId22" Type="http://schemas.microsoft.com/office/2007/relationships/hdphoto" Target="../media/hdphoto15.wdp"/><Relationship Id="rId27" Type="http://schemas.openxmlformats.org/officeDocument/2006/relationships/image" Target="../media/image55.png"/><Relationship Id="rId30" Type="http://schemas.microsoft.com/office/2007/relationships/hdphoto" Target="../media/hdphoto19.wdp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1.jpeg"/><Relationship Id="rId3" Type="http://schemas.openxmlformats.org/officeDocument/2006/relationships/image" Target="../media/image61.jpeg"/><Relationship Id="rId7" Type="http://schemas.openxmlformats.org/officeDocument/2006/relationships/image" Target="../media/image65.jpeg"/><Relationship Id="rId12" Type="http://schemas.openxmlformats.org/officeDocument/2006/relationships/image" Target="../media/image70.jpeg"/><Relationship Id="rId17" Type="http://schemas.openxmlformats.org/officeDocument/2006/relationships/image" Target="../media/image75.jpeg"/><Relationship Id="rId2" Type="http://schemas.openxmlformats.org/officeDocument/2006/relationships/image" Target="../media/image60.jpeg"/><Relationship Id="rId16" Type="http://schemas.openxmlformats.org/officeDocument/2006/relationships/image" Target="../media/image74.jpe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11" Type="http://schemas.openxmlformats.org/officeDocument/2006/relationships/image" Target="../media/image69.jpeg"/><Relationship Id="rId5" Type="http://schemas.openxmlformats.org/officeDocument/2006/relationships/image" Target="../media/image63.jpeg"/><Relationship Id="rId15" Type="http://schemas.openxmlformats.org/officeDocument/2006/relationships/image" Target="../media/image73.jpeg"/><Relationship Id="rId10" Type="http://schemas.openxmlformats.org/officeDocument/2006/relationships/image" Target="../media/image68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Relationship Id="rId14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22951</xdr:colOff>
      <xdr:row>5</xdr:row>
      <xdr:rowOff>40165</xdr:rowOff>
    </xdr:from>
    <xdr:to>
      <xdr:col>2</xdr:col>
      <xdr:colOff>1174951</xdr:colOff>
      <xdr:row>5</xdr:row>
      <xdr:rowOff>1248726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E6F2F9-BDED-4E85-8A97-DA02815E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840" y="1141852"/>
          <a:ext cx="1152000" cy="1208561"/>
        </a:xfrm>
        <a:prstGeom prst="rect">
          <a:avLst/>
        </a:prstGeom>
      </xdr:spPr>
    </xdr:pic>
    <xdr:clientData/>
  </xdr:twoCellAnchor>
  <xdr:twoCellAnchor editAs="oneCell">
    <xdr:from>
      <xdr:col>2</xdr:col>
      <xdr:colOff>34428</xdr:colOff>
      <xdr:row>6</xdr:row>
      <xdr:rowOff>63118</xdr:rowOff>
    </xdr:from>
    <xdr:to>
      <xdr:col>2</xdr:col>
      <xdr:colOff>1186428</xdr:colOff>
      <xdr:row>6</xdr:row>
      <xdr:rowOff>1215118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26E642-B4BC-42DB-BDC4-50FBC165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317" y="2432893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5738</xdr:colOff>
      <xdr:row>7</xdr:row>
      <xdr:rowOff>34428</xdr:rowOff>
    </xdr:from>
    <xdr:to>
      <xdr:col>2</xdr:col>
      <xdr:colOff>1157738</xdr:colOff>
      <xdr:row>7</xdr:row>
      <xdr:rowOff>1186428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FB584-CA7C-4E8F-9403-00996A6F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627" y="3672289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40166</xdr:colOff>
      <xdr:row>8</xdr:row>
      <xdr:rowOff>34428</xdr:rowOff>
    </xdr:from>
    <xdr:to>
      <xdr:col>3</xdr:col>
      <xdr:colOff>1542</xdr:colOff>
      <xdr:row>8</xdr:row>
      <xdr:rowOff>1186428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BF6DEF-BE32-4D2D-A24C-DA9F5193F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055" y="4940377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11476</xdr:colOff>
      <xdr:row>9</xdr:row>
      <xdr:rowOff>34427</xdr:rowOff>
    </xdr:from>
    <xdr:to>
      <xdr:col>2</xdr:col>
      <xdr:colOff>1163476</xdr:colOff>
      <xdr:row>9</xdr:row>
      <xdr:rowOff>1186427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9B4EA52-5551-4748-A7E8-F056013C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365" y="6208463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11475</xdr:colOff>
      <xdr:row>10</xdr:row>
      <xdr:rowOff>22952</xdr:rowOff>
    </xdr:from>
    <xdr:to>
      <xdr:col>2</xdr:col>
      <xdr:colOff>1163475</xdr:colOff>
      <xdr:row>10</xdr:row>
      <xdr:rowOff>1174952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C8C57DA-DE6D-4159-A12E-5344394E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364" y="7465076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11476</xdr:colOff>
      <xdr:row>11</xdr:row>
      <xdr:rowOff>22952</xdr:rowOff>
    </xdr:from>
    <xdr:to>
      <xdr:col>2</xdr:col>
      <xdr:colOff>1163476</xdr:colOff>
      <xdr:row>11</xdr:row>
      <xdr:rowOff>1174952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EBC82D-9F1A-4946-9675-009963BF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365" y="8733163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22952</xdr:colOff>
      <xdr:row>12</xdr:row>
      <xdr:rowOff>40165</xdr:rowOff>
    </xdr:from>
    <xdr:to>
      <xdr:col>2</xdr:col>
      <xdr:colOff>1174952</xdr:colOff>
      <xdr:row>12</xdr:row>
      <xdr:rowOff>1192165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84A47BB-353A-48DF-ABD3-4E003ECC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841" y="1001846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11476</xdr:colOff>
      <xdr:row>13</xdr:row>
      <xdr:rowOff>22952</xdr:rowOff>
    </xdr:from>
    <xdr:to>
      <xdr:col>2</xdr:col>
      <xdr:colOff>1163476</xdr:colOff>
      <xdr:row>13</xdr:row>
      <xdr:rowOff>1174952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A4C117E-9CD6-40B3-A203-A3D1CABAB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365" y="11269338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5749</xdr:colOff>
      <xdr:row>14</xdr:row>
      <xdr:rowOff>45903</xdr:rowOff>
    </xdr:from>
    <xdr:to>
      <xdr:col>2</xdr:col>
      <xdr:colOff>1158533</xdr:colOff>
      <xdr:row>14</xdr:row>
      <xdr:rowOff>1197903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88E3432-0FD3-49E7-86CD-9276D0CC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638" y="12560376"/>
          <a:ext cx="1152784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9462</xdr:colOff>
      <xdr:row>5</xdr:row>
      <xdr:rowOff>44166</xdr:rowOff>
    </xdr:from>
    <xdr:to>
      <xdr:col>2</xdr:col>
      <xdr:colOff>1176217</xdr:colOff>
      <xdr:row>5</xdr:row>
      <xdr:rowOff>1232166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DE3D6-6599-4D48-96E2-245400A4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527" y="961973"/>
          <a:ext cx="1166755" cy="11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6306</xdr:colOff>
      <xdr:row>6</xdr:row>
      <xdr:rowOff>15782</xdr:rowOff>
    </xdr:from>
    <xdr:to>
      <xdr:col>2</xdr:col>
      <xdr:colOff>1158306</xdr:colOff>
      <xdr:row>6</xdr:row>
      <xdr:rowOff>1248182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4DF9E3C-7F52-4F5F-802C-1B288434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371" y="2201486"/>
          <a:ext cx="1152000" cy="1232400"/>
        </a:xfrm>
        <a:prstGeom prst="rect">
          <a:avLst/>
        </a:prstGeom>
      </xdr:spPr>
    </xdr:pic>
    <xdr:clientData/>
  </xdr:twoCellAnchor>
  <xdr:twoCellAnchor editAs="oneCell">
    <xdr:from>
      <xdr:col>2</xdr:col>
      <xdr:colOff>7004</xdr:colOff>
      <xdr:row>15</xdr:row>
      <xdr:rowOff>56029</xdr:rowOff>
    </xdr:from>
    <xdr:to>
      <xdr:col>2</xdr:col>
      <xdr:colOff>1190625</xdr:colOff>
      <xdr:row>15</xdr:row>
      <xdr:rowOff>1239650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5726C8-0769-41EA-8527-D0A2C96D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42" y="13664173"/>
          <a:ext cx="1183621" cy="1183621"/>
        </a:xfrm>
        <a:prstGeom prst="rect">
          <a:avLst/>
        </a:prstGeom>
      </xdr:spPr>
    </xdr:pic>
    <xdr:clientData/>
  </xdr:twoCellAnchor>
  <xdr:twoCellAnchor editAs="oneCell">
    <xdr:from>
      <xdr:col>2</xdr:col>
      <xdr:colOff>21012</xdr:colOff>
      <xdr:row>16</xdr:row>
      <xdr:rowOff>49027</xdr:rowOff>
    </xdr:from>
    <xdr:to>
      <xdr:col>2</xdr:col>
      <xdr:colOff>1176618</xdr:colOff>
      <xdr:row>16</xdr:row>
      <xdr:rowOff>1204633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3BDC96-2F5F-4C77-B6C6-9EF169D7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850" y="14924836"/>
          <a:ext cx="1155606" cy="11556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35718</xdr:colOff>
      <xdr:row>7</xdr:row>
      <xdr:rowOff>35719</xdr:rowOff>
    </xdr:from>
    <xdr:to>
      <xdr:col>2</xdr:col>
      <xdr:colOff>1187718</xdr:colOff>
      <xdr:row>7</xdr:row>
      <xdr:rowOff>1187719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E9A271-3325-4451-8171-8928D799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09" y="3488532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11</xdr:row>
      <xdr:rowOff>35719</xdr:rowOff>
    </xdr:from>
    <xdr:to>
      <xdr:col>2</xdr:col>
      <xdr:colOff>1163906</xdr:colOff>
      <xdr:row>11</xdr:row>
      <xdr:rowOff>1187719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44088F-D1B2-4633-814E-D4E31758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297" y="856059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17860</xdr:colOff>
      <xdr:row>16</xdr:row>
      <xdr:rowOff>35719</xdr:rowOff>
    </xdr:from>
    <xdr:to>
      <xdr:col>2</xdr:col>
      <xdr:colOff>1169860</xdr:colOff>
      <xdr:row>16</xdr:row>
      <xdr:rowOff>1187719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2195C1-EF97-4BA4-8AC5-13386F1A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4900673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</xdr:colOff>
      <xdr:row>7</xdr:row>
      <xdr:rowOff>41910</xdr:rowOff>
    </xdr:from>
    <xdr:to>
      <xdr:col>2</xdr:col>
      <xdr:colOff>1176765</xdr:colOff>
      <xdr:row>7</xdr:row>
      <xdr:rowOff>1193910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EBDA51-1F59-434A-A424-399DC17B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965" y="350139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25496</xdr:colOff>
      <xdr:row>16</xdr:row>
      <xdr:rowOff>43848</xdr:rowOff>
    </xdr:from>
    <xdr:to>
      <xdr:col>2</xdr:col>
      <xdr:colOff>1176680</xdr:colOff>
      <xdr:row>16</xdr:row>
      <xdr:rowOff>1195848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AFD486C-AFEB-4426-AB04-989EE29ED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918" y="14915585"/>
          <a:ext cx="1151184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24872</xdr:colOff>
      <xdr:row>11</xdr:row>
      <xdr:rowOff>42353</xdr:rowOff>
    </xdr:from>
    <xdr:to>
      <xdr:col>2</xdr:col>
      <xdr:colOff>1175160</xdr:colOff>
      <xdr:row>11</xdr:row>
      <xdr:rowOff>1194353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5FCAAC-8BE7-4DA6-9CA3-E7FA1F82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072" y="8576753"/>
          <a:ext cx="1150288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6803</xdr:colOff>
      <xdr:row>7</xdr:row>
      <xdr:rowOff>40822</xdr:rowOff>
    </xdr:from>
    <xdr:to>
      <xdr:col>2</xdr:col>
      <xdr:colOff>1177017</xdr:colOff>
      <xdr:row>7</xdr:row>
      <xdr:rowOff>1238251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EB0CD9-24F9-49F3-9C01-6C29A01F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3497036"/>
          <a:ext cx="1170214" cy="1197429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</xdr:colOff>
      <xdr:row>11</xdr:row>
      <xdr:rowOff>53660</xdr:rowOff>
    </xdr:from>
    <xdr:to>
      <xdr:col>2</xdr:col>
      <xdr:colOff>1151718</xdr:colOff>
      <xdr:row>11</xdr:row>
      <xdr:rowOff>1095375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2A142B-8DF7-4FD2-A4BE-CCF293BB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09" y="8578535"/>
          <a:ext cx="1116000" cy="104171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16</xdr:row>
      <xdr:rowOff>88964</xdr:rowOff>
    </xdr:from>
    <xdr:to>
      <xdr:col>2</xdr:col>
      <xdr:colOff>1190100</xdr:colOff>
      <xdr:row>16</xdr:row>
      <xdr:rowOff>1073149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19C2A36-5820-48BC-B8AB-317139D5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4986064"/>
          <a:ext cx="1152000" cy="984185"/>
        </a:xfrm>
        <a:prstGeom prst="rect">
          <a:avLst/>
        </a:prstGeom>
      </xdr:spPr>
    </xdr:pic>
    <xdr:clientData/>
  </xdr:twoCellAnchor>
  <xdr:twoCellAnchor editAs="oneCell">
    <xdr:from>
      <xdr:col>2</xdr:col>
      <xdr:colOff>18317</xdr:colOff>
      <xdr:row>19</xdr:row>
      <xdr:rowOff>61057</xdr:rowOff>
    </xdr:from>
    <xdr:to>
      <xdr:col>2</xdr:col>
      <xdr:colOff>1190624</xdr:colOff>
      <xdr:row>19</xdr:row>
      <xdr:rowOff>1233364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1F5B0A-FB34-4CD4-932F-56DEF26BD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29" y="18677548"/>
          <a:ext cx="1172307" cy="1172307"/>
        </a:xfrm>
        <a:prstGeom prst="rect">
          <a:avLst/>
        </a:prstGeom>
      </xdr:spPr>
    </xdr:pic>
    <xdr:clientData/>
  </xdr:twoCellAnchor>
  <xdr:twoCellAnchor editAs="oneCell">
    <xdr:from>
      <xdr:col>2</xdr:col>
      <xdr:colOff>18318</xdr:colOff>
      <xdr:row>21</xdr:row>
      <xdr:rowOff>42741</xdr:rowOff>
    </xdr:from>
    <xdr:to>
      <xdr:col>2</xdr:col>
      <xdr:colOff>1178414</xdr:colOff>
      <xdr:row>21</xdr:row>
      <xdr:rowOff>1164925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058F6E4-E6DA-4969-9DBD-BCEB3895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30" y="21187020"/>
          <a:ext cx="1160096" cy="11221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18318</xdr:colOff>
      <xdr:row>4</xdr:row>
      <xdr:rowOff>36635</xdr:rowOff>
    </xdr:from>
    <xdr:to>
      <xdr:col>2</xdr:col>
      <xdr:colOff>1170318</xdr:colOff>
      <xdr:row>4</xdr:row>
      <xdr:rowOff>1188635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79BEBB-7EB2-4F6B-A7CF-711990C4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30" y="1239472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5</xdr:row>
      <xdr:rowOff>164948</xdr:rowOff>
    </xdr:from>
    <xdr:to>
      <xdr:col>3</xdr:col>
      <xdr:colOff>663</xdr:colOff>
      <xdr:row>5</xdr:row>
      <xdr:rowOff>1013558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E19E54-6D41-471D-AAFC-968C723B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452" y="2631679"/>
          <a:ext cx="1152000" cy="848610"/>
        </a:xfrm>
        <a:prstGeom prst="rect">
          <a:avLst/>
        </a:prstGeom>
      </xdr:spPr>
    </xdr:pic>
    <xdr:clientData/>
  </xdr:twoCellAnchor>
  <xdr:twoCellAnchor editAs="oneCell">
    <xdr:from>
      <xdr:col>2</xdr:col>
      <xdr:colOff>18318</xdr:colOff>
      <xdr:row>6</xdr:row>
      <xdr:rowOff>73361</xdr:rowOff>
    </xdr:from>
    <xdr:to>
      <xdr:col>2</xdr:col>
      <xdr:colOff>1170318</xdr:colOff>
      <xdr:row>6</xdr:row>
      <xdr:rowOff>1068508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DEABA7-7103-43E3-B1EE-BF87DDDC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30" y="3803987"/>
          <a:ext cx="1152000" cy="995147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7</xdr:row>
      <xdr:rowOff>79467</xdr:rowOff>
    </xdr:from>
    <xdr:to>
      <xdr:col>2</xdr:col>
      <xdr:colOff>1188635</xdr:colOff>
      <xdr:row>7</xdr:row>
      <xdr:rowOff>1025770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F20B88-D181-4F8E-9491-66A16C29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347" y="5073986"/>
          <a:ext cx="1152000" cy="946303"/>
        </a:xfrm>
        <a:prstGeom prst="rect">
          <a:avLst/>
        </a:prstGeom>
      </xdr:spPr>
    </xdr:pic>
    <xdr:clientData/>
  </xdr:twoCellAnchor>
  <xdr:twoCellAnchor editAs="oneCell">
    <xdr:from>
      <xdr:col>2</xdr:col>
      <xdr:colOff>24422</xdr:colOff>
      <xdr:row>8</xdr:row>
      <xdr:rowOff>73357</xdr:rowOff>
    </xdr:from>
    <xdr:to>
      <xdr:col>2</xdr:col>
      <xdr:colOff>1176422</xdr:colOff>
      <xdr:row>8</xdr:row>
      <xdr:rowOff>1128573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F01DFCC-8972-4754-8603-D19D35F3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34" y="6331771"/>
          <a:ext cx="1152000" cy="1055216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9</xdr:row>
      <xdr:rowOff>42741</xdr:rowOff>
    </xdr:from>
    <xdr:to>
      <xdr:col>3</xdr:col>
      <xdr:colOff>663</xdr:colOff>
      <xdr:row>9</xdr:row>
      <xdr:rowOff>1194741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1ED472B-8331-4DC5-BFFB-E12313B40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452" y="7565049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10</xdr:row>
      <xdr:rowOff>85481</xdr:rowOff>
    </xdr:from>
    <xdr:to>
      <xdr:col>2</xdr:col>
      <xdr:colOff>1188635</xdr:colOff>
      <xdr:row>10</xdr:row>
      <xdr:rowOff>1237481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5A5240-CF94-427F-9CB9-FE60A507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347" y="887168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30621</xdr:colOff>
      <xdr:row>11</xdr:row>
      <xdr:rowOff>42740</xdr:rowOff>
    </xdr:from>
    <xdr:to>
      <xdr:col>2</xdr:col>
      <xdr:colOff>1182910</xdr:colOff>
      <xdr:row>11</xdr:row>
      <xdr:rowOff>1194740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4676F35-97EC-4910-94C2-8110C15E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333" y="10092836"/>
          <a:ext cx="1152289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</xdr:colOff>
      <xdr:row>12</xdr:row>
      <xdr:rowOff>134419</xdr:rowOff>
    </xdr:from>
    <xdr:to>
      <xdr:col>2</xdr:col>
      <xdr:colOff>1176423</xdr:colOff>
      <xdr:row>12</xdr:row>
      <xdr:rowOff>1074614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5598E46-1D9C-40CF-AFB6-E879D652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35" y="11448410"/>
          <a:ext cx="1152000" cy="940195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</xdr:colOff>
      <xdr:row>13</xdr:row>
      <xdr:rowOff>146631</xdr:rowOff>
    </xdr:from>
    <xdr:to>
      <xdr:col>2</xdr:col>
      <xdr:colOff>1176423</xdr:colOff>
      <xdr:row>13</xdr:row>
      <xdr:rowOff>1056298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15D41BB-B641-44D3-BB13-070016F7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35" y="12724516"/>
          <a:ext cx="1152000" cy="909667"/>
        </a:xfrm>
        <a:prstGeom prst="rect">
          <a:avLst/>
        </a:prstGeom>
      </xdr:spPr>
    </xdr:pic>
    <xdr:clientData/>
  </xdr:twoCellAnchor>
  <xdr:twoCellAnchor editAs="oneCell">
    <xdr:from>
      <xdr:col>2</xdr:col>
      <xdr:colOff>30529</xdr:colOff>
      <xdr:row>14</xdr:row>
      <xdr:rowOff>30529</xdr:rowOff>
    </xdr:from>
    <xdr:to>
      <xdr:col>2</xdr:col>
      <xdr:colOff>1182529</xdr:colOff>
      <xdr:row>14</xdr:row>
      <xdr:rowOff>1182529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EB7EAF7-1E9C-4FC2-9FDB-BF6A18F58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241" y="13872308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12303</xdr:colOff>
      <xdr:row>20</xdr:row>
      <xdr:rowOff>24423</xdr:rowOff>
    </xdr:from>
    <xdr:to>
      <xdr:col>2</xdr:col>
      <xdr:colOff>1164016</xdr:colOff>
      <xdr:row>20</xdr:row>
      <xdr:rowOff>1176423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6B496F3-57DB-411D-93C2-F87AC09B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015" y="16186395"/>
          <a:ext cx="1151713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6198</xdr:colOff>
      <xdr:row>21</xdr:row>
      <xdr:rowOff>48846</xdr:rowOff>
    </xdr:from>
    <xdr:to>
      <xdr:col>2</xdr:col>
      <xdr:colOff>1158487</xdr:colOff>
      <xdr:row>21</xdr:row>
      <xdr:rowOff>1200846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2146BE1-3045-4BBE-8642-802D4802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910" y="17474711"/>
          <a:ext cx="1152289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18317</xdr:colOff>
      <xdr:row>22</xdr:row>
      <xdr:rowOff>42740</xdr:rowOff>
    </xdr:from>
    <xdr:to>
      <xdr:col>2</xdr:col>
      <xdr:colOff>1170317</xdr:colOff>
      <xdr:row>22</xdr:row>
      <xdr:rowOff>1194740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E83E9BD-FD9A-4D11-A023-A871EB8BB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29" y="187325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30528</xdr:colOff>
      <xdr:row>23</xdr:row>
      <xdr:rowOff>189371</xdr:rowOff>
    </xdr:from>
    <xdr:to>
      <xdr:col>2</xdr:col>
      <xdr:colOff>1182528</xdr:colOff>
      <xdr:row>23</xdr:row>
      <xdr:rowOff>1050192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36187A7-5CD1-4925-8884-D2DF1EC1F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240" y="20143025"/>
          <a:ext cx="1152000" cy="860821"/>
        </a:xfrm>
        <a:prstGeom prst="rect">
          <a:avLst/>
        </a:prstGeom>
      </xdr:spPr>
    </xdr:pic>
    <xdr:clientData/>
  </xdr:twoCellAnchor>
  <xdr:twoCellAnchor editAs="oneCell">
    <xdr:from>
      <xdr:col>2</xdr:col>
      <xdr:colOff>12212</xdr:colOff>
      <xdr:row>24</xdr:row>
      <xdr:rowOff>30529</xdr:rowOff>
    </xdr:from>
    <xdr:to>
      <xdr:col>2</xdr:col>
      <xdr:colOff>1164212</xdr:colOff>
      <xdr:row>24</xdr:row>
      <xdr:rowOff>1182529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C7B6450-F8D4-4DFA-9594-DF4979EC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24" y="21248078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30529</xdr:colOff>
      <xdr:row>25</xdr:row>
      <xdr:rowOff>48938</xdr:rowOff>
    </xdr:from>
    <xdr:to>
      <xdr:col>2</xdr:col>
      <xdr:colOff>1182529</xdr:colOff>
      <xdr:row>25</xdr:row>
      <xdr:rowOff>1201226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A449F5A-9370-4882-9A36-9A4E676C8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241" y="22530380"/>
          <a:ext cx="1152000" cy="1152288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</xdr:colOff>
      <xdr:row>26</xdr:row>
      <xdr:rowOff>24514</xdr:rowOff>
    </xdr:from>
    <xdr:to>
      <xdr:col>2</xdr:col>
      <xdr:colOff>1176423</xdr:colOff>
      <xdr:row>26</xdr:row>
      <xdr:rowOff>1176802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3DF10AB-A379-41F5-A821-C9B1C6EF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35" y="23769851"/>
          <a:ext cx="1152000" cy="1152288"/>
        </a:xfrm>
        <a:prstGeom prst="rect">
          <a:avLst/>
        </a:prstGeom>
      </xdr:spPr>
    </xdr:pic>
    <xdr:clientData/>
  </xdr:twoCellAnchor>
  <xdr:twoCellAnchor editAs="oneCell">
    <xdr:from>
      <xdr:col>2</xdr:col>
      <xdr:colOff>18317</xdr:colOff>
      <xdr:row>29</xdr:row>
      <xdr:rowOff>73361</xdr:rowOff>
    </xdr:from>
    <xdr:to>
      <xdr:col>2</xdr:col>
      <xdr:colOff>1170317</xdr:colOff>
      <xdr:row>29</xdr:row>
      <xdr:rowOff>1062404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B941A31-3BD3-45A8-B538-2D97167F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29" y="27610380"/>
          <a:ext cx="1152000" cy="9890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61140</xdr:colOff>
      <xdr:row>6</xdr:row>
      <xdr:rowOff>28230</xdr:rowOff>
    </xdr:from>
    <xdr:to>
      <xdr:col>2</xdr:col>
      <xdr:colOff>1167918</xdr:colOff>
      <xdr:row>6</xdr:row>
      <xdr:rowOff>1135008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FC31C-1295-4771-A07E-0E3FBAB6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161" y="1128672"/>
          <a:ext cx="1106778" cy="1106778"/>
        </a:xfrm>
        <a:prstGeom prst="rect">
          <a:avLst/>
        </a:prstGeom>
      </xdr:spPr>
    </xdr:pic>
    <xdr:clientData/>
  </xdr:twoCellAnchor>
  <xdr:twoCellAnchor editAs="oneCell">
    <xdr:from>
      <xdr:col>2</xdr:col>
      <xdr:colOff>40247</xdr:colOff>
      <xdr:row>7</xdr:row>
      <xdr:rowOff>26831</xdr:rowOff>
    </xdr:from>
    <xdr:to>
      <xdr:col>2</xdr:col>
      <xdr:colOff>1140317</xdr:colOff>
      <xdr:row>7</xdr:row>
      <xdr:rowOff>1126901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C7EB17-E14F-47C7-9878-43DCD505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550" y="2273927"/>
          <a:ext cx="1100070" cy="1100070"/>
        </a:xfrm>
        <a:prstGeom prst="rect">
          <a:avLst/>
        </a:prstGeom>
      </xdr:spPr>
    </xdr:pic>
    <xdr:clientData/>
  </xdr:twoCellAnchor>
  <xdr:twoCellAnchor editAs="oneCell">
    <xdr:from>
      <xdr:col>2</xdr:col>
      <xdr:colOff>46954</xdr:colOff>
      <xdr:row>10</xdr:row>
      <xdr:rowOff>20124</xdr:rowOff>
    </xdr:from>
    <xdr:to>
      <xdr:col>2</xdr:col>
      <xdr:colOff>1173855</xdr:colOff>
      <xdr:row>10</xdr:row>
      <xdr:rowOff>1093364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0EB43B-988A-4FDD-B68B-7BF1130A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257" y="3843539"/>
          <a:ext cx="1126901" cy="1073240"/>
        </a:xfrm>
        <a:prstGeom prst="rect">
          <a:avLst/>
        </a:prstGeom>
      </xdr:spPr>
    </xdr:pic>
    <xdr:clientData/>
  </xdr:twoCellAnchor>
  <xdr:twoCellAnchor editAs="oneCell">
    <xdr:from>
      <xdr:col>2</xdr:col>
      <xdr:colOff>20123</xdr:colOff>
      <xdr:row>11</xdr:row>
      <xdr:rowOff>40248</xdr:rowOff>
    </xdr:from>
    <xdr:to>
      <xdr:col>2</xdr:col>
      <xdr:colOff>1167147</xdr:colOff>
      <xdr:row>11</xdr:row>
      <xdr:rowOff>1118990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F002C6-BB21-4793-A45A-DBF8A2318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426" y="5003980"/>
          <a:ext cx="1147024" cy="1078742"/>
        </a:xfrm>
        <a:prstGeom prst="rect">
          <a:avLst/>
        </a:prstGeom>
      </xdr:spPr>
    </xdr:pic>
    <xdr:clientData/>
  </xdr:twoCellAnchor>
  <xdr:twoCellAnchor editAs="oneCell">
    <xdr:from>
      <xdr:col>2</xdr:col>
      <xdr:colOff>73785</xdr:colOff>
      <xdr:row>14</xdr:row>
      <xdr:rowOff>26831</xdr:rowOff>
    </xdr:from>
    <xdr:to>
      <xdr:col>2</xdr:col>
      <xdr:colOff>1160440</xdr:colOff>
      <xdr:row>14</xdr:row>
      <xdr:rowOff>1113486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E93901B-81A3-42E3-9341-A1F91256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088" y="6566885"/>
          <a:ext cx="1086655" cy="1086655"/>
        </a:xfrm>
        <a:prstGeom prst="rect">
          <a:avLst/>
        </a:prstGeom>
      </xdr:spPr>
    </xdr:pic>
    <xdr:clientData/>
  </xdr:twoCellAnchor>
  <xdr:twoCellAnchor editAs="oneCell">
    <xdr:from>
      <xdr:col>2</xdr:col>
      <xdr:colOff>24740</xdr:colOff>
      <xdr:row>15</xdr:row>
      <xdr:rowOff>24740</xdr:rowOff>
    </xdr:from>
    <xdr:to>
      <xdr:col>2</xdr:col>
      <xdr:colOff>1150421</xdr:colOff>
      <xdr:row>15</xdr:row>
      <xdr:rowOff>1119496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D4542E8-4A13-4EF5-9E59-EBA41F36C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604" y="7706591"/>
          <a:ext cx="1125681" cy="1094756"/>
        </a:xfrm>
        <a:prstGeom prst="rect">
          <a:avLst/>
        </a:prstGeom>
      </xdr:spPr>
    </xdr:pic>
    <xdr:clientData/>
  </xdr:twoCellAnchor>
  <xdr:twoCellAnchor editAs="oneCell">
    <xdr:from>
      <xdr:col>2</xdr:col>
      <xdr:colOff>43296</xdr:colOff>
      <xdr:row>18</xdr:row>
      <xdr:rowOff>18556</xdr:rowOff>
    </xdr:from>
    <xdr:to>
      <xdr:col>2</xdr:col>
      <xdr:colOff>1156607</xdr:colOff>
      <xdr:row>18</xdr:row>
      <xdr:rowOff>1131867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DCD17E-663D-46BA-8517-2CF0FD82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60" y="9277599"/>
          <a:ext cx="1113311" cy="1113311"/>
        </a:xfrm>
        <a:prstGeom prst="rect">
          <a:avLst/>
        </a:prstGeom>
      </xdr:spPr>
    </xdr:pic>
    <xdr:clientData/>
  </xdr:twoCellAnchor>
  <xdr:twoCellAnchor editAs="oneCell">
    <xdr:from>
      <xdr:col>2</xdr:col>
      <xdr:colOff>30925</xdr:colOff>
      <xdr:row>19</xdr:row>
      <xdr:rowOff>49481</xdr:rowOff>
    </xdr:from>
    <xdr:to>
      <xdr:col>2</xdr:col>
      <xdr:colOff>1156607</xdr:colOff>
      <xdr:row>19</xdr:row>
      <xdr:rowOff>1101205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40AFB50-512B-44CA-8BA5-227033CD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789" y="10452760"/>
          <a:ext cx="1125682" cy="1051724"/>
        </a:xfrm>
        <a:prstGeom prst="rect">
          <a:avLst/>
        </a:prstGeom>
      </xdr:spPr>
    </xdr:pic>
    <xdr:clientData/>
  </xdr:twoCellAnchor>
  <xdr:twoCellAnchor editAs="oneCell">
    <xdr:from>
      <xdr:col>2</xdr:col>
      <xdr:colOff>37111</xdr:colOff>
      <xdr:row>20</xdr:row>
      <xdr:rowOff>18556</xdr:rowOff>
    </xdr:from>
    <xdr:to>
      <xdr:col>2</xdr:col>
      <xdr:colOff>1144237</xdr:colOff>
      <xdr:row>20</xdr:row>
      <xdr:rowOff>1125682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FB71914-132F-4181-B0D2-01861332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975" y="11566073"/>
          <a:ext cx="1107126" cy="1107126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23</xdr:row>
      <xdr:rowOff>37112</xdr:rowOff>
    </xdr:from>
    <xdr:to>
      <xdr:col>2</xdr:col>
      <xdr:colOff>1144236</xdr:colOff>
      <xdr:row>23</xdr:row>
      <xdr:rowOff>1119094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D5A48A4-0DD7-475C-8672-512B10E84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59" y="13161820"/>
          <a:ext cx="1100941" cy="1081982"/>
        </a:xfrm>
        <a:prstGeom prst="rect">
          <a:avLst/>
        </a:prstGeom>
      </xdr:spPr>
    </xdr:pic>
    <xdr:clientData/>
  </xdr:twoCellAnchor>
  <xdr:twoCellAnchor editAs="oneCell">
    <xdr:from>
      <xdr:col>2</xdr:col>
      <xdr:colOff>43296</xdr:colOff>
      <xdr:row>24</xdr:row>
      <xdr:rowOff>24740</xdr:rowOff>
    </xdr:from>
    <xdr:to>
      <xdr:col>2</xdr:col>
      <xdr:colOff>1156607</xdr:colOff>
      <xdr:row>24</xdr:row>
      <xdr:rowOff>1138051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A35D175-5492-43A7-BF03-7662DDDE6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60" y="14293685"/>
          <a:ext cx="1113311" cy="1113311"/>
        </a:xfrm>
        <a:prstGeom prst="rect">
          <a:avLst/>
        </a:prstGeom>
      </xdr:spPr>
    </xdr:pic>
    <xdr:clientData/>
  </xdr:twoCellAnchor>
  <xdr:twoCellAnchor editAs="oneCell">
    <xdr:from>
      <xdr:col>2</xdr:col>
      <xdr:colOff>37111</xdr:colOff>
      <xdr:row>25</xdr:row>
      <xdr:rowOff>18555</xdr:rowOff>
    </xdr:from>
    <xdr:to>
      <xdr:col>2</xdr:col>
      <xdr:colOff>1162792</xdr:colOff>
      <xdr:row>25</xdr:row>
      <xdr:rowOff>1096628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8E127D3-4571-423D-B293-BE4EB7D70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999" y="15402684"/>
          <a:ext cx="1125681" cy="107807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43296</xdr:colOff>
      <xdr:row>28</xdr:row>
      <xdr:rowOff>24742</xdr:rowOff>
    </xdr:from>
    <xdr:to>
      <xdr:col>2</xdr:col>
      <xdr:colOff>1162792</xdr:colOff>
      <xdr:row>28</xdr:row>
      <xdr:rowOff>1107126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EC9665B-EBAB-4A40-9798-8FFDFFA6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60" y="17015116"/>
          <a:ext cx="1119496" cy="108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37110</xdr:colOff>
      <xdr:row>29</xdr:row>
      <xdr:rowOff>24740</xdr:rowOff>
    </xdr:from>
    <xdr:to>
      <xdr:col>2</xdr:col>
      <xdr:colOff>1144236</xdr:colOff>
      <xdr:row>29</xdr:row>
      <xdr:rowOff>1131866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6E0D8C6-6027-4148-AEFB-C1901E1F0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974" y="18159350"/>
          <a:ext cx="1107126" cy="1107126"/>
        </a:xfrm>
        <a:prstGeom prst="rect">
          <a:avLst/>
        </a:prstGeom>
      </xdr:spPr>
    </xdr:pic>
    <xdr:clientData/>
  </xdr:twoCellAnchor>
  <xdr:twoCellAnchor editAs="oneCell">
    <xdr:from>
      <xdr:col>2</xdr:col>
      <xdr:colOff>30926</xdr:colOff>
      <xdr:row>30</xdr:row>
      <xdr:rowOff>24741</xdr:rowOff>
    </xdr:from>
    <xdr:to>
      <xdr:col>2</xdr:col>
      <xdr:colOff>1138052</xdr:colOff>
      <xdr:row>30</xdr:row>
      <xdr:rowOff>1131867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0E0BE6A-8873-4EF0-8413-22640C74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790" y="19303589"/>
          <a:ext cx="1107126" cy="1107126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33</xdr:row>
      <xdr:rowOff>18555</xdr:rowOff>
    </xdr:from>
    <xdr:to>
      <xdr:col>2</xdr:col>
      <xdr:colOff>1144236</xdr:colOff>
      <xdr:row>33</xdr:row>
      <xdr:rowOff>1119496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82D782A-9280-4A3F-897B-0D0DF52DE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59" y="20874594"/>
          <a:ext cx="1100941" cy="1100941"/>
        </a:xfrm>
        <a:prstGeom prst="rect">
          <a:avLst/>
        </a:prstGeom>
      </xdr:spPr>
    </xdr:pic>
    <xdr:clientData/>
  </xdr:twoCellAnchor>
  <xdr:twoCellAnchor editAs="oneCell">
    <xdr:from>
      <xdr:col>2</xdr:col>
      <xdr:colOff>43296</xdr:colOff>
      <xdr:row>34</xdr:row>
      <xdr:rowOff>24740</xdr:rowOff>
    </xdr:from>
    <xdr:to>
      <xdr:col>2</xdr:col>
      <xdr:colOff>1159100</xdr:colOff>
      <xdr:row>34</xdr:row>
      <xdr:rowOff>1094755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BEC7C81-6EAA-456F-8C10-75608041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60" y="22025017"/>
          <a:ext cx="1115804" cy="10700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23232</xdr:colOff>
      <xdr:row>4</xdr:row>
      <xdr:rowOff>46463</xdr:rowOff>
    </xdr:from>
    <xdr:to>
      <xdr:col>2</xdr:col>
      <xdr:colOff>1175232</xdr:colOff>
      <xdr:row>4</xdr:row>
      <xdr:rowOff>1198463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E0FE69-093A-414C-B9A2-A60F75B0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220" y="94088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11629</xdr:colOff>
      <xdr:row>5</xdr:row>
      <xdr:rowOff>34912</xdr:rowOff>
    </xdr:from>
    <xdr:to>
      <xdr:col>2</xdr:col>
      <xdr:colOff>1173201</xdr:colOff>
      <xdr:row>5</xdr:row>
      <xdr:rowOff>1186912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8EFA0B-FC77-4CB9-AD2C-ED7D3757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617" y="2195461"/>
          <a:ext cx="1161572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29039</xdr:colOff>
      <xdr:row>6</xdr:row>
      <xdr:rowOff>46463</xdr:rowOff>
    </xdr:from>
    <xdr:to>
      <xdr:col>2</xdr:col>
      <xdr:colOff>1181039</xdr:colOff>
      <xdr:row>6</xdr:row>
      <xdr:rowOff>1198463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4F3928-2410-46BF-ACCE-9B2FC738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027" y="347314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29085</xdr:colOff>
      <xdr:row>7</xdr:row>
      <xdr:rowOff>34848</xdr:rowOff>
    </xdr:from>
    <xdr:to>
      <xdr:col>2</xdr:col>
      <xdr:colOff>1184817</xdr:colOff>
      <xdr:row>7</xdr:row>
      <xdr:rowOff>1186848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57C4BB-2FF0-42D1-8AA2-F194A294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073" y="4727653"/>
          <a:ext cx="1155732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11616</xdr:colOff>
      <xdr:row>8</xdr:row>
      <xdr:rowOff>52272</xdr:rowOff>
    </xdr:from>
    <xdr:to>
      <xdr:col>2</xdr:col>
      <xdr:colOff>1163616</xdr:colOff>
      <xdr:row>8</xdr:row>
      <xdr:rowOff>1204272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72BBE2E-D0B1-4D31-87BC-A6445C09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604" y="601120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5808</xdr:colOff>
      <xdr:row>9</xdr:row>
      <xdr:rowOff>255549</xdr:rowOff>
    </xdr:from>
    <xdr:to>
      <xdr:col>2</xdr:col>
      <xdr:colOff>1157808</xdr:colOff>
      <xdr:row>9</xdr:row>
      <xdr:rowOff>1023356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64D00CC-0947-468A-BEF7-0DC789341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6" y="7480610"/>
          <a:ext cx="1152000" cy="767807"/>
        </a:xfrm>
        <a:prstGeom prst="rect">
          <a:avLst/>
        </a:prstGeom>
      </xdr:spPr>
    </xdr:pic>
    <xdr:clientData/>
  </xdr:twoCellAnchor>
  <xdr:twoCellAnchor editAs="oneCell">
    <xdr:from>
      <xdr:col>2</xdr:col>
      <xdr:colOff>17516</xdr:colOff>
      <xdr:row>10</xdr:row>
      <xdr:rowOff>34848</xdr:rowOff>
    </xdr:from>
    <xdr:to>
      <xdr:col>2</xdr:col>
      <xdr:colOff>1169805</xdr:colOff>
      <xdr:row>10</xdr:row>
      <xdr:rowOff>1186848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4EDAF41-A42F-4EA4-BE40-292184AFE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04" y="8526037"/>
          <a:ext cx="1152289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17423</xdr:colOff>
      <xdr:row>13</xdr:row>
      <xdr:rowOff>46463</xdr:rowOff>
    </xdr:from>
    <xdr:to>
      <xdr:col>2</xdr:col>
      <xdr:colOff>1169423</xdr:colOff>
      <xdr:row>13</xdr:row>
      <xdr:rowOff>1198463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FE97DC3-D2C0-4BB3-B388-037248B7A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411" y="12336036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29040</xdr:colOff>
      <xdr:row>14</xdr:row>
      <xdr:rowOff>244025</xdr:rowOff>
    </xdr:from>
    <xdr:to>
      <xdr:col>2</xdr:col>
      <xdr:colOff>1181040</xdr:colOff>
      <xdr:row>14</xdr:row>
      <xdr:rowOff>1012120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192D835-021F-4359-81CF-8EECA49D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028" y="13799726"/>
          <a:ext cx="1152000" cy="768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40656</xdr:colOff>
      <xdr:row>15</xdr:row>
      <xdr:rowOff>267257</xdr:rowOff>
    </xdr:from>
    <xdr:to>
      <xdr:col>3</xdr:col>
      <xdr:colOff>2031</xdr:colOff>
      <xdr:row>15</xdr:row>
      <xdr:rowOff>1035352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9050544-4C6A-4044-B38D-98C81753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644" y="15089086"/>
          <a:ext cx="1152000" cy="768095"/>
        </a:xfrm>
        <a:prstGeom prst="rect">
          <a:avLst/>
        </a:prstGeom>
      </xdr:spPr>
    </xdr:pic>
    <xdr:clientData/>
  </xdr:twoCellAnchor>
  <xdr:twoCellAnchor editAs="oneCell">
    <xdr:from>
      <xdr:col>2</xdr:col>
      <xdr:colOff>5807</xdr:colOff>
      <xdr:row>16</xdr:row>
      <xdr:rowOff>255641</xdr:rowOff>
    </xdr:from>
    <xdr:to>
      <xdr:col>2</xdr:col>
      <xdr:colOff>1157807</xdr:colOff>
      <xdr:row>16</xdr:row>
      <xdr:rowOff>1023736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649125A-A788-42BE-9EBD-AA77D4A0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5" y="16343598"/>
          <a:ext cx="1152000" cy="768095"/>
        </a:xfrm>
        <a:prstGeom prst="rect">
          <a:avLst/>
        </a:prstGeom>
      </xdr:spPr>
    </xdr:pic>
    <xdr:clientData/>
  </xdr:twoCellAnchor>
  <xdr:twoCellAnchor editAs="oneCell">
    <xdr:from>
      <xdr:col>2</xdr:col>
      <xdr:colOff>29040</xdr:colOff>
      <xdr:row>17</xdr:row>
      <xdr:rowOff>284623</xdr:rowOff>
    </xdr:from>
    <xdr:to>
      <xdr:col>2</xdr:col>
      <xdr:colOff>1181040</xdr:colOff>
      <xdr:row>17</xdr:row>
      <xdr:rowOff>1052326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0BD92E4-63E7-4E16-AD98-B419604B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028" y="17638708"/>
          <a:ext cx="1152000" cy="767703"/>
        </a:xfrm>
        <a:prstGeom prst="rect">
          <a:avLst/>
        </a:prstGeom>
      </xdr:spPr>
    </xdr:pic>
    <xdr:clientData/>
  </xdr:twoCellAnchor>
  <xdr:twoCellAnchor editAs="oneCell">
    <xdr:from>
      <xdr:col>2</xdr:col>
      <xdr:colOff>29040</xdr:colOff>
      <xdr:row>18</xdr:row>
      <xdr:rowOff>75503</xdr:rowOff>
    </xdr:from>
    <xdr:to>
      <xdr:col>2</xdr:col>
      <xdr:colOff>1181040</xdr:colOff>
      <xdr:row>18</xdr:row>
      <xdr:rowOff>1179010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AC4FBDB-17D4-4EA3-93D0-781D2FFCC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028" y="18695716"/>
          <a:ext cx="1152000" cy="1103507"/>
        </a:xfrm>
        <a:prstGeom prst="rect">
          <a:avLst/>
        </a:prstGeom>
      </xdr:spPr>
    </xdr:pic>
    <xdr:clientData/>
  </xdr:twoCellAnchor>
  <xdr:twoCellAnchor editAs="oneCell">
    <xdr:from>
      <xdr:col>2</xdr:col>
      <xdr:colOff>17424</xdr:colOff>
      <xdr:row>19</xdr:row>
      <xdr:rowOff>29039</xdr:rowOff>
    </xdr:from>
    <xdr:to>
      <xdr:col>2</xdr:col>
      <xdr:colOff>1169424</xdr:colOff>
      <xdr:row>19</xdr:row>
      <xdr:rowOff>1181039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6E0B0D4-C4AD-4FFD-BBF8-4305027CA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412" y="1991538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23232</xdr:colOff>
      <xdr:row>20</xdr:row>
      <xdr:rowOff>58079</xdr:rowOff>
    </xdr:from>
    <xdr:to>
      <xdr:col>2</xdr:col>
      <xdr:colOff>1175232</xdr:colOff>
      <xdr:row>20</xdr:row>
      <xdr:rowOff>1210079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264F1A1-F815-49BF-8008-BE4C52407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220" y="21210549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11616</xdr:colOff>
      <xdr:row>21</xdr:row>
      <xdr:rowOff>34847</xdr:rowOff>
    </xdr:from>
    <xdr:to>
      <xdr:col>2</xdr:col>
      <xdr:colOff>1163616</xdr:colOff>
      <xdr:row>21</xdr:row>
      <xdr:rowOff>1186847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4B140D5-F8E4-43F6-A974-8337FE52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604" y="2245344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23231</xdr:colOff>
      <xdr:row>22</xdr:row>
      <xdr:rowOff>34847</xdr:rowOff>
    </xdr:from>
    <xdr:to>
      <xdr:col>2</xdr:col>
      <xdr:colOff>1175231</xdr:colOff>
      <xdr:row>22</xdr:row>
      <xdr:rowOff>1186847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E83F330-B650-49CB-86A1-FD1FA629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219" y="23719573"/>
          <a:ext cx="1152000" cy="115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4E602-2F26-40A6-8C4A-46330C737364}">
  <sheetPr>
    <tabColor rgb="FF00B0F0"/>
  </sheetPr>
  <dimension ref="B2:W19"/>
  <sheetViews>
    <sheetView topLeftCell="A11" zoomScale="68" zoomScaleNormal="68" workbookViewId="0">
      <selection activeCell="G17" sqref="G17"/>
    </sheetView>
  </sheetViews>
  <sheetFormatPr defaultRowHeight="14.25" x14ac:dyDescent="0.45"/>
  <cols>
    <col min="2" max="2" width="13.33203125" customWidth="1"/>
    <col min="3" max="3" width="16.73046875" style="70" customWidth="1"/>
    <col min="23" max="23" width="11.73046875" customWidth="1"/>
  </cols>
  <sheetData>
    <row r="2" spans="2:23" s="70" customFormat="1" x14ac:dyDescent="0.45">
      <c r="B2" s="382" t="s">
        <v>96</v>
      </c>
      <c r="C2" s="382"/>
      <c r="D2" s="382"/>
      <c r="E2" s="382"/>
    </row>
    <row r="3" spans="2:23" s="70" customFormat="1" ht="14.65" thickBot="1" x14ac:dyDescent="0.5">
      <c r="B3" s="382"/>
      <c r="C3" s="382"/>
      <c r="D3" s="382"/>
      <c r="E3" s="382"/>
    </row>
    <row r="4" spans="2:23" ht="14.65" thickBot="1" x14ac:dyDescent="0.5">
      <c r="B4" s="273" t="s">
        <v>11</v>
      </c>
      <c r="C4" s="274" t="s">
        <v>217</v>
      </c>
      <c r="D4" s="275" t="s">
        <v>12</v>
      </c>
      <c r="E4" s="275" t="s">
        <v>13</v>
      </c>
      <c r="F4" s="275" t="s">
        <v>14</v>
      </c>
      <c r="G4" s="110">
        <v>2</v>
      </c>
      <c r="H4" s="111">
        <v>5</v>
      </c>
      <c r="I4" s="112">
        <v>7</v>
      </c>
      <c r="J4" s="113">
        <v>10</v>
      </c>
      <c r="K4" s="114">
        <v>11</v>
      </c>
      <c r="L4" s="115">
        <v>12</v>
      </c>
      <c r="M4" s="116">
        <v>13</v>
      </c>
      <c r="N4" s="117">
        <v>16</v>
      </c>
      <c r="O4" s="118">
        <v>69</v>
      </c>
      <c r="P4" s="119">
        <v>76</v>
      </c>
      <c r="Q4" s="120">
        <v>77</v>
      </c>
      <c r="R4" s="100">
        <v>79</v>
      </c>
      <c r="S4" s="109">
        <v>81</v>
      </c>
      <c r="T4" s="101" t="s">
        <v>60</v>
      </c>
      <c r="U4" s="101" t="s">
        <v>61</v>
      </c>
      <c r="V4" s="101" t="s">
        <v>59</v>
      </c>
      <c r="W4" s="102" t="s">
        <v>202</v>
      </c>
    </row>
    <row r="5" spans="2:23" ht="14.65" thickBot="1" x14ac:dyDescent="0.5">
      <c r="B5" s="66"/>
      <c r="C5" s="66"/>
      <c r="D5" s="66"/>
      <c r="E5" s="66"/>
      <c r="F5" s="44"/>
      <c r="G5" s="33"/>
      <c r="H5" s="33"/>
      <c r="I5" s="33"/>
      <c r="J5" s="34"/>
      <c r="K5" s="33"/>
      <c r="L5" s="33"/>
      <c r="M5" s="33"/>
      <c r="N5" s="33"/>
      <c r="O5" s="33"/>
      <c r="P5" s="33"/>
      <c r="Q5" s="33"/>
      <c r="R5" s="33"/>
      <c r="S5" s="33"/>
      <c r="T5" s="49"/>
      <c r="U5" s="49"/>
      <c r="V5" s="49"/>
      <c r="W5" s="50"/>
    </row>
    <row r="6" spans="2:23" ht="100.05" customHeight="1" x14ac:dyDescent="0.45">
      <c r="B6" s="191" t="s">
        <v>97</v>
      </c>
      <c r="C6" s="145"/>
      <c r="D6" s="193">
        <v>15</v>
      </c>
      <c r="E6" s="193" t="s">
        <v>110</v>
      </c>
      <c r="F6" s="194">
        <v>52.5</v>
      </c>
      <c r="G6" s="255"/>
      <c r="H6" s="256"/>
      <c r="I6" s="257"/>
      <c r="J6" s="258"/>
      <c r="K6" s="271"/>
      <c r="L6" s="260"/>
      <c r="M6" s="261"/>
      <c r="N6" s="262"/>
      <c r="O6" s="263"/>
      <c r="P6" s="264"/>
      <c r="Q6" s="265"/>
      <c r="R6" s="266"/>
      <c r="S6" s="267"/>
      <c r="T6" s="195">
        <f t="shared" ref="T6:T18" si="0">SUM(G6:S6)</f>
        <v>0</v>
      </c>
      <c r="U6" s="195">
        <f t="shared" ref="U6:U18" si="1">D6*T6</f>
        <v>0</v>
      </c>
      <c r="V6" s="195">
        <f>T6*0.28</f>
        <v>0</v>
      </c>
      <c r="W6" s="197">
        <f t="shared" ref="W6:W18" si="2">F6*T6</f>
        <v>0</v>
      </c>
    </row>
    <row r="7" spans="2:23" ht="100.05" customHeight="1" x14ac:dyDescent="0.45">
      <c r="B7" s="173" t="s">
        <v>98</v>
      </c>
      <c r="C7" s="146"/>
      <c r="D7" s="177">
        <v>10</v>
      </c>
      <c r="E7" s="177" t="s">
        <v>111</v>
      </c>
      <c r="F7" s="178">
        <v>55</v>
      </c>
      <c r="G7" s="216"/>
      <c r="H7" s="217"/>
      <c r="I7" s="218"/>
      <c r="J7" s="219"/>
      <c r="K7" s="268"/>
      <c r="L7" s="221"/>
      <c r="M7" s="222"/>
      <c r="N7" s="223"/>
      <c r="O7" s="224"/>
      <c r="P7" s="225"/>
      <c r="Q7" s="226"/>
      <c r="R7" s="227"/>
      <c r="S7" s="228"/>
      <c r="T7" s="179">
        <f t="shared" si="0"/>
        <v>0</v>
      </c>
      <c r="U7" s="179">
        <f t="shared" si="1"/>
        <v>0</v>
      </c>
      <c r="V7" s="179">
        <f>T7*0.6</f>
        <v>0</v>
      </c>
      <c r="W7" s="199">
        <f t="shared" si="2"/>
        <v>0</v>
      </c>
    </row>
    <row r="8" spans="2:23" ht="100.05" customHeight="1" x14ac:dyDescent="0.45">
      <c r="B8" s="173" t="s">
        <v>99</v>
      </c>
      <c r="C8" s="146"/>
      <c r="D8" s="177">
        <v>10</v>
      </c>
      <c r="E8" s="177" t="s">
        <v>112</v>
      </c>
      <c r="F8" s="178">
        <v>82.5</v>
      </c>
      <c r="G8" s="216"/>
      <c r="H8" s="217"/>
      <c r="I8" s="218"/>
      <c r="J8" s="219"/>
      <c r="K8" s="268"/>
      <c r="L8" s="221"/>
      <c r="M8" s="222"/>
      <c r="N8" s="223"/>
      <c r="O8" s="224"/>
      <c r="P8" s="225"/>
      <c r="Q8" s="226"/>
      <c r="R8" s="227"/>
      <c r="S8" s="228"/>
      <c r="T8" s="179">
        <f t="shared" si="0"/>
        <v>0</v>
      </c>
      <c r="U8" s="179">
        <f t="shared" si="1"/>
        <v>0</v>
      </c>
      <c r="V8" s="179">
        <f>T8*1.15</f>
        <v>0</v>
      </c>
      <c r="W8" s="199">
        <f t="shared" si="2"/>
        <v>0</v>
      </c>
    </row>
    <row r="9" spans="2:23" ht="100.05" customHeight="1" x14ac:dyDescent="0.45">
      <c r="B9" s="173" t="s">
        <v>100</v>
      </c>
      <c r="C9" s="146"/>
      <c r="D9" s="177">
        <v>10</v>
      </c>
      <c r="E9" s="177" t="s">
        <v>113</v>
      </c>
      <c r="F9" s="178">
        <v>130</v>
      </c>
      <c r="G9" s="216"/>
      <c r="H9" s="217"/>
      <c r="I9" s="218"/>
      <c r="J9" s="219"/>
      <c r="K9" s="268"/>
      <c r="L9" s="221"/>
      <c r="M9" s="222"/>
      <c r="N9" s="223"/>
      <c r="O9" s="224"/>
      <c r="P9" s="225"/>
      <c r="Q9" s="226"/>
      <c r="R9" s="227"/>
      <c r="S9" s="228"/>
      <c r="T9" s="179">
        <f t="shared" si="0"/>
        <v>0</v>
      </c>
      <c r="U9" s="179">
        <f t="shared" si="1"/>
        <v>0</v>
      </c>
      <c r="V9" s="179">
        <f>T9*2.14</f>
        <v>0</v>
      </c>
      <c r="W9" s="199">
        <f t="shared" si="2"/>
        <v>0</v>
      </c>
    </row>
    <row r="10" spans="2:23" ht="100.05" customHeight="1" x14ac:dyDescent="0.45">
      <c r="B10" s="173" t="s">
        <v>101</v>
      </c>
      <c r="C10" s="146"/>
      <c r="D10" s="177">
        <v>10</v>
      </c>
      <c r="E10" s="177" t="s">
        <v>114</v>
      </c>
      <c r="F10" s="178">
        <v>196.25</v>
      </c>
      <c r="G10" s="216"/>
      <c r="H10" s="217"/>
      <c r="I10" s="218"/>
      <c r="J10" s="219"/>
      <c r="K10" s="220"/>
      <c r="L10" s="221"/>
      <c r="M10" s="222"/>
      <c r="N10" s="223"/>
      <c r="O10" s="224"/>
      <c r="P10" s="225"/>
      <c r="Q10" s="226"/>
      <c r="R10" s="227"/>
      <c r="S10" s="228"/>
      <c r="T10" s="179">
        <f t="shared" si="0"/>
        <v>0</v>
      </c>
      <c r="U10" s="179">
        <f t="shared" si="1"/>
        <v>0</v>
      </c>
      <c r="V10" s="179">
        <f>T10*3.46</f>
        <v>0</v>
      </c>
      <c r="W10" s="199">
        <f t="shared" si="2"/>
        <v>0</v>
      </c>
    </row>
    <row r="11" spans="2:23" ht="100.05" customHeight="1" x14ac:dyDescent="0.45">
      <c r="B11" s="173" t="s">
        <v>102</v>
      </c>
      <c r="C11" s="146"/>
      <c r="D11" s="177">
        <v>10</v>
      </c>
      <c r="E11" s="177" t="s">
        <v>115</v>
      </c>
      <c r="F11" s="178">
        <v>256.25</v>
      </c>
      <c r="G11" s="216"/>
      <c r="H11" s="217"/>
      <c r="I11" s="218"/>
      <c r="J11" s="219"/>
      <c r="K11" s="220"/>
      <c r="L11" s="221"/>
      <c r="M11" s="222"/>
      <c r="N11" s="223"/>
      <c r="O11" s="224"/>
      <c r="P11" s="225"/>
      <c r="Q11" s="226"/>
      <c r="R11" s="227"/>
      <c r="S11" s="228"/>
      <c r="T11" s="179">
        <f t="shared" si="0"/>
        <v>0</v>
      </c>
      <c r="U11" s="179">
        <f t="shared" si="1"/>
        <v>0</v>
      </c>
      <c r="V11" s="179">
        <f>T11*2.46</f>
        <v>0</v>
      </c>
      <c r="W11" s="199">
        <f t="shared" si="2"/>
        <v>0</v>
      </c>
    </row>
    <row r="12" spans="2:23" ht="100.05" customHeight="1" x14ac:dyDescent="0.45">
      <c r="B12" s="173" t="s">
        <v>103</v>
      </c>
      <c r="C12" s="146"/>
      <c r="D12" s="177">
        <v>5</v>
      </c>
      <c r="E12" s="177" t="s">
        <v>116</v>
      </c>
      <c r="F12" s="178">
        <v>233.75</v>
      </c>
      <c r="G12" s="216"/>
      <c r="H12" s="217"/>
      <c r="I12" s="218"/>
      <c r="J12" s="219"/>
      <c r="K12" s="220"/>
      <c r="L12" s="221"/>
      <c r="M12" s="222"/>
      <c r="N12" s="223"/>
      <c r="O12" s="224"/>
      <c r="P12" s="225"/>
      <c r="Q12" s="226"/>
      <c r="R12" s="227"/>
      <c r="S12" s="228"/>
      <c r="T12" s="179">
        <f t="shared" si="0"/>
        <v>0</v>
      </c>
      <c r="U12" s="179">
        <f t="shared" si="1"/>
        <v>0</v>
      </c>
      <c r="V12" s="179">
        <f>T12*3.08</f>
        <v>0</v>
      </c>
      <c r="W12" s="199">
        <f t="shared" si="2"/>
        <v>0</v>
      </c>
    </row>
    <row r="13" spans="2:23" ht="100.05" customHeight="1" x14ac:dyDescent="0.45">
      <c r="B13" s="173" t="s">
        <v>104</v>
      </c>
      <c r="C13" s="146"/>
      <c r="D13" s="177">
        <v>5</v>
      </c>
      <c r="E13" s="177" t="s">
        <v>117</v>
      </c>
      <c r="F13" s="178">
        <v>233.75</v>
      </c>
      <c r="G13" s="216"/>
      <c r="H13" s="217"/>
      <c r="I13" s="218"/>
      <c r="J13" s="219"/>
      <c r="K13" s="220"/>
      <c r="L13" s="221"/>
      <c r="M13" s="222"/>
      <c r="N13" s="223"/>
      <c r="O13" s="224"/>
      <c r="P13" s="225"/>
      <c r="Q13" s="226"/>
      <c r="R13" s="227"/>
      <c r="S13" s="228"/>
      <c r="T13" s="179">
        <f t="shared" si="0"/>
        <v>0</v>
      </c>
      <c r="U13" s="179">
        <f t="shared" si="1"/>
        <v>0</v>
      </c>
      <c r="V13" s="179">
        <f>T13*2.9</f>
        <v>0</v>
      </c>
      <c r="W13" s="199">
        <f t="shared" si="2"/>
        <v>0</v>
      </c>
    </row>
    <row r="14" spans="2:23" ht="100.05" customHeight="1" x14ac:dyDescent="0.45">
      <c r="B14" s="173" t="s">
        <v>105</v>
      </c>
      <c r="C14" s="146"/>
      <c r="D14" s="177">
        <v>5</v>
      </c>
      <c r="E14" s="177" t="s">
        <v>118</v>
      </c>
      <c r="F14" s="178">
        <v>391.25</v>
      </c>
      <c r="G14" s="216"/>
      <c r="H14" s="217"/>
      <c r="I14" s="218"/>
      <c r="J14" s="219"/>
      <c r="K14" s="220"/>
      <c r="L14" s="221"/>
      <c r="M14" s="222"/>
      <c r="N14" s="223"/>
      <c r="O14" s="224"/>
      <c r="P14" s="225"/>
      <c r="Q14" s="226"/>
      <c r="R14" s="227"/>
      <c r="S14" s="228"/>
      <c r="T14" s="179">
        <f t="shared" si="0"/>
        <v>0</v>
      </c>
      <c r="U14" s="179">
        <f t="shared" si="1"/>
        <v>0</v>
      </c>
      <c r="V14" s="179">
        <f>T14*5.85</f>
        <v>0</v>
      </c>
      <c r="W14" s="199">
        <f t="shared" si="2"/>
        <v>0</v>
      </c>
    </row>
    <row r="15" spans="2:23" ht="100.05" customHeight="1" x14ac:dyDescent="0.45">
      <c r="B15" s="173" t="s">
        <v>106</v>
      </c>
      <c r="C15" s="146"/>
      <c r="D15" s="177">
        <v>2</v>
      </c>
      <c r="E15" s="177" t="s">
        <v>119</v>
      </c>
      <c r="F15" s="178">
        <v>222.5</v>
      </c>
      <c r="G15" s="216"/>
      <c r="H15" s="217"/>
      <c r="I15" s="218"/>
      <c r="J15" s="219"/>
      <c r="K15" s="220"/>
      <c r="L15" s="221"/>
      <c r="M15" s="222"/>
      <c r="N15" s="223"/>
      <c r="O15" s="224"/>
      <c r="P15" s="225"/>
      <c r="Q15" s="226"/>
      <c r="R15" s="227"/>
      <c r="S15" s="228"/>
      <c r="T15" s="179">
        <f t="shared" si="0"/>
        <v>0</v>
      </c>
      <c r="U15" s="179">
        <f t="shared" si="1"/>
        <v>0</v>
      </c>
      <c r="V15" s="179">
        <f>T15*3.31</f>
        <v>0</v>
      </c>
      <c r="W15" s="199">
        <f t="shared" si="2"/>
        <v>0</v>
      </c>
    </row>
    <row r="16" spans="2:23" ht="100.05" customHeight="1" x14ac:dyDescent="0.45">
      <c r="B16" s="173" t="s">
        <v>107</v>
      </c>
      <c r="C16" s="146"/>
      <c r="D16" s="177">
        <v>2</v>
      </c>
      <c r="E16" s="177" t="s">
        <v>120</v>
      </c>
      <c r="F16" s="178">
        <v>270</v>
      </c>
      <c r="G16" s="216"/>
      <c r="H16" s="217"/>
      <c r="I16" s="218"/>
      <c r="J16" s="219"/>
      <c r="K16" s="220"/>
      <c r="L16" s="221"/>
      <c r="M16" s="222"/>
      <c r="N16" s="223"/>
      <c r="O16" s="224"/>
      <c r="P16" s="225"/>
      <c r="Q16" s="226"/>
      <c r="R16" s="227"/>
      <c r="S16" s="228"/>
      <c r="T16" s="179">
        <f t="shared" si="0"/>
        <v>0</v>
      </c>
      <c r="U16" s="179">
        <f t="shared" si="1"/>
        <v>0</v>
      </c>
      <c r="V16" s="179">
        <f>T16*4.27</f>
        <v>0</v>
      </c>
      <c r="W16" s="199">
        <f t="shared" si="2"/>
        <v>0</v>
      </c>
    </row>
    <row r="17" spans="2:23" ht="100.05" customHeight="1" x14ac:dyDescent="0.45">
      <c r="B17" s="173" t="s">
        <v>108</v>
      </c>
      <c r="C17" s="146"/>
      <c r="D17" s="177">
        <v>2</v>
      </c>
      <c r="E17" s="177" t="s">
        <v>121</v>
      </c>
      <c r="F17" s="178">
        <v>260</v>
      </c>
      <c r="G17" s="216"/>
      <c r="H17" s="217"/>
      <c r="I17" s="218"/>
      <c r="J17" s="219"/>
      <c r="K17" s="220"/>
      <c r="L17" s="221"/>
      <c r="M17" s="222"/>
      <c r="N17" s="223"/>
      <c r="O17" s="224"/>
      <c r="P17" s="225"/>
      <c r="Q17" s="226"/>
      <c r="R17" s="227"/>
      <c r="S17" s="228"/>
      <c r="T17" s="179">
        <f t="shared" si="0"/>
        <v>0</v>
      </c>
      <c r="U17" s="179">
        <f t="shared" si="1"/>
        <v>0</v>
      </c>
      <c r="V17" s="179">
        <f>T17*4.24</f>
        <v>0</v>
      </c>
      <c r="W17" s="199">
        <f t="shared" si="2"/>
        <v>0</v>
      </c>
    </row>
    <row r="18" spans="2:23" ht="100.05" customHeight="1" thickBot="1" x14ac:dyDescent="0.5">
      <c r="B18" s="156" t="s">
        <v>109</v>
      </c>
      <c r="C18" s="147"/>
      <c r="D18" s="163">
        <v>2</v>
      </c>
      <c r="E18" s="163" t="s">
        <v>122</v>
      </c>
      <c r="F18" s="164">
        <v>199</v>
      </c>
      <c r="G18" s="229"/>
      <c r="H18" s="230"/>
      <c r="I18" s="231"/>
      <c r="J18" s="232"/>
      <c r="K18" s="233"/>
      <c r="L18" s="234"/>
      <c r="M18" s="235"/>
      <c r="N18" s="236"/>
      <c r="O18" s="237"/>
      <c r="P18" s="238"/>
      <c r="Q18" s="239"/>
      <c r="R18" s="240"/>
      <c r="S18" s="241"/>
      <c r="T18" s="171">
        <f t="shared" si="0"/>
        <v>0</v>
      </c>
      <c r="U18" s="171">
        <f t="shared" si="1"/>
        <v>0</v>
      </c>
      <c r="V18" s="171">
        <f>T18*3.14</f>
        <v>0</v>
      </c>
      <c r="W18" s="202">
        <f t="shared" si="2"/>
        <v>0</v>
      </c>
    </row>
    <row r="19" spans="2:23" x14ac:dyDescent="0.45">
      <c r="B19" s="68"/>
      <c r="C19" s="143"/>
      <c r="D19" s="68"/>
      <c r="E19" s="68"/>
      <c r="F19" s="43"/>
      <c r="G19" s="55">
        <f>SUM(G6:G18)</f>
        <v>0</v>
      </c>
      <c r="H19" s="55">
        <f>SUM(H6:H18)</f>
        <v>0</v>
      </c>
      <c r="I19" s="55">
        <f>SUM(I6:I18)</f>
        <v>0</v>
      </c>
      <c r="J19" s="272">
        <f>+SUM(J6:J18)</f>
        <v>0</v>
      </c>
      <c r="K19" s="55">
        <f t="shared" ref="K19:W19" si="3">SUM(K6:K18)</f>
        <v>0</v>
      </c>
      <c r="L19" s="55">
        <f t="shared" si="3"/>
        <v>0</v>
      </c>
      <c r="M19" s="55">
        <f t="shared" si="3"/>
        <v>0</v>
      </c>
      <c r="N19" s="55">
        <f t="shared" si="3"/>
        <v>0</v>
      </c>
      <c r="O19" s="55">
        <f t="shared" si="3"/>
        <v>0</v>
      </c>
      <c r="P19" s="55">
        <f t="shared" si="3"/>
        <v>0</v>
      </c>
      <c r="Q19" s="55">
        <f t="shared" si="3"/>
        <v>0</v>
      </c>
      <c r="R19" s="55">
        <f t="shared" si="3"/>
        <v>0</v>
      </c>
      <c r="S19" s="55">
        <f t="shared" si="3"/>
        <v>0</v>
      </c>
      <c r="T19" s="55">
        <f t="shared" si="3"/>
        <v>0</v>
      </c>
      <c r="U19" s="55">
        <f t="shared" si="3"/>
        <v>0</v>
      </c>
      <c r="V19" s="55">
        <f t="shared" si="3"/>
        <v>0</v>
      </c>
      <c r="W19" s="72">
        <f t="shared" si="3"/>
        <v>0</v>
      </c>
    </row>
  </sheetData>
  <sheetProtection algorithmName="SHA-512" hashValue="kaPfrBFPoU6rn9nyPcFtcrSzP+KRQxH/2KjZoFVmCNM0ewoNFVq2zyXxFbNvGpkUN+qNKuoELO0IWxOQ4CX0Ww==" saltValue="hXn2w920wRnHyJj7SbfDjA==" spinCount="100000" sheet="1" objects="1" scenarios="1" selectLockedCells="1"/>
  <mergeCells count="1">
    <mergeCell ref="B2:E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4C42-E10E-4DDA-8379-6DA4A946A750}">
  <sheetPr>
    <tabColor rgb="FF7030A0"/>
  </sheetPr>
  <dimension ref="B2:W29"/>
  <sheetViews>
    <sheetView topLeftCell="A21" zoomScale="78" zoomScaleNormal="78" workbookViewId="0">
      <selection activeCell="G23" sqref="G23"/>
    </sheetView>
  </sheetViews>
  <sheetFormatPr defaultRowHeight="14.25" x14ac:dyDescent="0.45"/>
  <cols>
    <col min="2" max="2" width="13.33203125" customWidth="1"/>
    <col min="3" max="3" width="16.6640625" style="70" customWidth="1"/>
    <col min="23" max="23" width="11.796875" customWidth="1"/>
  </cols>
  <sheetData>
    <row r="2" spans="2:23" x14ac:dyDescent="0.45">
      <c r="B2" s="383" t="s">
        <v>123</v>
      </c>
      <c r="C2" s="383"/>
      <c r="D2" s="383"/>
      <c r="E2" s="68"/>
      <c r="F2" s="43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47"/>
      <c r="U2" s="47"/>
      <c r="V2" s="47"/>
      <c r="W2" s="48"/>
    </row>
    <row r="3" spans="2:23" ht="14.65" thickBot="1" x14ac:dyDescent="0.5">
      <c r="B3" s="383"/>
      <c r="C3" s="383"/>
      <c r="D3" s="383"/>
      <c r="E3" s="68"/>
      <c r="F3" s="43"/>
      <c r="G3" s="31"/>
      <c r="H3" s="31"/>
      <c r="I3" s="31"/>
      <c r="J3" s="32"/>
      <c r="K3" s="31"/>
      <c r="L3" s="31"/>
      <c r="M3" s="31"/>
      <c r="N3" s="31"/>
      <c r="O3" s="31"/>
      <c r="P3" s="31"/>
      <c r="Q3" s="31"/>
      <c r="R3" s="31"/>
      <c r="S3" s="31"/>
      <c r="T3" s="47"/>
      <c r="U3" s="47"/>
      <c r="V3" s="47"/>
      <c r="W3" s="48"/>
    </row>
    <row r="4" spans="2:23" s="70" customFormat="1" ht="15" customHeight="1" thickBot="1" x14ac:dyDescent="0.5">
      <c r="B4" s="273" t="s">
        <v>11</v>
      </c>
      <c r="C4" s="274" t="s">
        <v>217</v>
      </c>
      <c r="D4" s="275" t="s">
        <v>12</v>
      </c>
      <c r="E4" s="275" t="s">
        <v>13</v>
      </c>
      <c r="F4" s="275" t="s">
        <v>14</v>
      </c>
      <c r="G4" s="110">
        <v>2</v>
      </c>
      <c r="H4" s="111">
        <v>5</v>
      </c>
      <c r="I4" s="112">
        <v>7</v>
      </c>
      <c r="J4" s="113">
        <v>10</v>
      </c>
      <c r="K4" s="114">
        <v>11</v>
      </c>
      <c r="L4" s="115">
        <v>12</v>
      </c>
      <c r="M4" s="116">
        <v>13</v>
      </c>
      <c r="N4" s="117">
        <v>16</v>
      </c>
      <c r="O4" s="118">
        <v>69</v>
      </c>
      <c r="P4" s="119">
        <v>76</v>
      </c>
      <c r="Q4" s="120">
        <v>77</v>
      </c>
      <c r="R4" s="100">
        <v>79</v>
      </c>
      <c r="S4" s="109">
        <v>81</v>
      </c>
      <c r="T4" s="101" t="s">
        <v>60</v>
      </c>
      <c r="U4" s="101" t="s">
        <v>61</v>
      </c>
      <c r="V4" s="101" t="s">
        <v>59</v>
      </c>
      <c r="W4" s="102" t="s">
        <v>202</v>
      </c>
    </row>
    <row r="5" spans="2:23" ht="14.65" thickBot="1" x14ac:dyDescent="0.5">
      <c r="B5" s="143"/>
      <c r="C5" s="143"/>
      <c r="D5" s="143"/>
      <c r="E5" s="143"/>
      <c r="F5" s="43"/>
      <c r="G5" s="31"/>
      <c r="H5" s="31"/>
      <c r="I5" s="31"/>
      <c r="J5" s="32"/>
      <c r="K5" s="31"/>
      <c r="L5" s="31"/>
      <c r="M5" s="31"/>
      <c r="N5" s="31"/>
      <c r="O5" s="31"/>
      <c r="P5" s="31"/>
      <c r="Q5" s="31"/>
      <c r="R5" s="31"/>
      <c r="S5" s="31"/>
      <c r="T5" s="47"/>
      <c r="U5" s="47"/>
      <c r="V5" s="47"/>
      <c r="W5" s="48"/>
    </row>
    <row r="6" spans="2:23" ht="100.05" customHeight="1" x14ac:dyDescent="0.45">
      <c r="B6" s="299" t="s">
        <v>169</v>
      </c>
      <c r="C6" s="300"/>
      <c r="D6" s="301">
        <v>5</v>
      </c>
      <c r="E6" s="301" t="s">
        <v>170</v>
      </c>
      <c r="F6" s="302">
        <v>85</v>
      </c>
      <c r="G6" s="203"/>
      <c r="H6" s="204"/>
      <c r="I6" s="205"/>
      <c r="J6" s="206"/>
      <c r="K6" s="207"/>
      <c r="L6" s="208"/>
      <c r="M6" s="209"/>
      <c r="N6" s="210"/>
      <c r="O6" s="211"/>
      <c r="P6" s="212"/>
      <c r="Q6" s="213"/>
      <c r="R6" s="214"/>
      <c r="S6" s="215"/>
      <c r="T6" s="303">
        <f>SUM(G6:S6)</f>
        <v>0</v>
      </c>
      <c r="U6" s="303">
        <f>D6*T6</f>
        <v>0</v>
      </c>
      <c r="V6" s="303">
        <f>T6*1.48</f>
        <v>0</v>
      </c>
      <c r="W6" s="304">
        <f>F6*T6</f>
        <v>0</v>
      </c>
    </row>
    <row r="7" spans="2:23" ht="100.05" customHeight="1" x14ac:dyDescent="0.45">
      <c r="B7" s="173" t="s">
        <v>171</v>
      </c>
      <c r="C7" s="146"/>
      <c r="D7" s="177">
        <v>5</v>
      </c>
      <c r="E7" s="177" t="s">
        <v>172</v>
      </c>
      <c r="F7" s="178">
        <v>73</v>
      </c>
      <c r="G7" s="216"/>
      <c r="H7" s="217"/>
      <c r="I7" s="218"/>
      <c r="J7" s="219"/>
      <c r="K7" s="220"/>
      <c r="L7" s="221"/>
      <c r="M7" s="222"/>
      <c r="N7" s="223"/>
      <c r="O7" s="224"/>
      <c r="P7" s="225"/>
      <c r="Q7" s="226"/>
      <c r="R7" s="227"/>
      <c r="S7" s="228"/>
      <c r="T7" s="179">
        <f>SUM(G7:S7)</f>
        <v>0</v>
      </c>
      <c r="U7" s="305">
        <f>D7*T7</f>
        <v>0</v>
      </c>
      <c r="V7" s="179">
        <f>T7*1.23</f>
        <v>0</v>
      </c>
      <c r="W7" s="199">
        <f>F7*T7</f>
        <v>0</v>
      </c>
    </row>
    <row r="8" spans="2:23" ht="100.05" customHeight="1" x14ac:dyDescent="0.45">
      <c r="B8" s="191" t="s">
        <v>124</v>
      </c>
      <c r="C8" s="145"/>
      <c r="D8" s="193">
        <v>10</v>
      </c>
      <c r="E8" s="193" t="s">
        <v>129</v>
      </c>
      <c r="F8" s="194">
        <v>77.5</v>
      </c>
      <c r="G8" s="255"/>
      <c r="H8" s="256"/>
      <c r="I8" s="257"/>
      <c r="J8" s="258"/>
      <c r="K8" s="259"/>
      <c r="L8" s="260"/>
      <c r="M8" s="261"/>
      <c r="N8" s="262"/>
      <c r="O8" s="263"/>
      <c r="P8" s="264"/>
      <c r="Q8" s="265"/>
      <c r="R8" s="266"/>
      <c r="S8" s="267"/>
      <c r="T8" s="195">
        <f t="shared" ref="T8:T24" si="0">SUM(G8:S8)</f>
        <v>0</v>
      </c>
      <c r="U8" s="195">
        <f t="shared" ref="U8:U24" si="1">D8*T8</f>
        <v>0</v>
      </c>
      <c r="V8" s="195">
        <f>T8*1.1</f>
        <v>0</v>
      </c>
      <c r="W8" s="197">
        <f t="shared" ref="W8:W24" si="2">F8*T8</f>
        <v>0</v>
      </c>
    </row>
    <row r="9" spans="2:23" ht="100.05" customHeight="1" x14ac:dyDescent="0.45">
      <c r="B9" s="191" t="s">
        <v>173</v>
      </c>
      <c r="C9" s="145"/>
      <c r="D9" s="193">
        <v>5</v>
      </c>
      <c r="E9" s="193" t="s">
        <v>174</v>
      </c>
      <c r="F9" s="194">
        <v>90</v>
      </c>
      <c r="G9" s="255"/>
      <c r="H9" s="256"/>
      <c r="I9" s="257"/>
      <c r="J9" s="258"/>
      <c r="K9" s="259"/>
      <c r="L9" s="260"/>
      <c r="M9" s="261"/>
      <c r="N9" s="262"/>
      <c r="O9" s="263"/>
      <c r="P9" s="264"/>
      <c r="Q9" s="265"/>
      <c r="R9" s="266"/>
      <c r="S9" s="267"/>
      <c r="T9" s="195">
        <f>SUM(G9:S9)</f>
        <v>0</v>
      </c>
      <c r="U9" s="195">
        <f>D9*T9</f>
        <v>0</v>
      </c>
      <c r="V9" s="195">
        <f>T9*1.58</f>
        <v>0</v>
      </c>
      <c r="W9" s="197">
        <f>F9*T9</f>
        <v>0</v>
      </c>
    </row>
    <row r="10" spans="2:23" ht="100.05" customHeight="1" x14ac:dyDescent="0.45">
      <c r="B10" s="191" t="s">
        <v>63</v>
      </c>
      <c r="C10" s="145"/>
      <c r="D10" s="193">
        <v>10</v>
      </c>
      <c r="E10" s="193" t="s">
        <v>175</v>
      </c>
      <c r="F10" s="194">
        <v>97</v>
      </c>
      <c r="G10" s="255"/>
      <c r="H10" s="256"/>
      <c r="I10" s="257"/>
      <c r="J10" s="258"/>
      <c r="K10" s="259"/>
      <c r="L10" s="260"/>
      <c r="M10" s="261"/>
      <c r="N10" s="262"/>
      <c r="O10" s="263"/>
      <c r="P10" s="264"/>
      <c r="Q10" s="265"/>
      <c r="R10" s="266"/>
      <c r="S10" s="267"/>
      <c r="T10" s="195">
        <f>SUM(G10:S10)</f>
        <v>0</v>
      </c>
      <c r="U10" s="195">
        <f>D10*T10</f>
        <v>0</v>
      </c>
      <c r="V10" s="195">
        <f>T10*1.43</f>
        <v>0</v>
      </c>
      <c r="W10" s="197">
        <f>F10*T10</f>
        <v>0</v>
      </c>
    </row>
    <row r="11" spans="2:23" ht="100.05" customHeight="1" x14ac:dyDescent="0.45">
      <c r="B11" s="191" t="s">
        <v>146</v>
      </c>
      <c r="C11" s="145"/>
      <c r="D11" s="193">
        <v>10</v>
      </c>
      <c r="E11" s="193" t="s">
        <v>176</v>
      </c>
      <c r="F11" s="194">
        <v>149</v>
      </c>
      <c r="G11" s="255"/>
      <c r="H11" s="256"/>
      <c r="I11" s="257"/>
      <c r="J11" s="258"/>
      <c r="K11" s="259"/>
      <c r="L11" s="260"/>
      <c r="M11" s="261"/>
      <c r="N11" s="262"/>
      <c r="O11" s="263"/>
      <c r="P11" s="264"/>
      <c r="Q11" s="265"/>
      <c r="R11" s="266"/>
      <c r="S11" s="267"/>
      <c r="T11" s="195">
        <f>SUM(G11:S11)</f>
        <v>0</v>
      </c>
      <c r="U11" s="195">
        <f>D11*T11</f>
        <v>0</v>
      </c>
      <c r="V11" s="195">
        <f>T11*2.52</f>
        <v>0</v>
      </c>
      <c r="W11" s="197">
        <f>F11*T11</f>
        <v>0</v>
      </c>
    </row>
    <row r="12" spans="2:23" ht="100.05" customHeight="1" x14ac:dyDescent="0.45">
      <c r="B12" s="173" t="s">
        <v>125</v>
      </c>
      <c r="C12" s="146"/>
      <c r="D12" s="177">
        <v>10</v>
      </c>
      <c r="E12" s="177" t="s">
        <v>130</v>
      </c>
      <c r="F12" s="178">
        <v>95</v>
      </c>
      <c r="G12" s="216"/>
      <c r="H12" s="217"/>
      <c r="I12" s="218"/>
      <c r="J12" s="219"/>
      <c r="K12" s="220"/>
      <c r="L12" s="221"/>
      <c r="M12" s="222"/>
      <c r="N12" s="223"/>
      <c r="O12" s="224"/>
      <c r="P12" s="225"/>
      <c r="Q12" s="226"/>
      <c r="R12" s="227"/>
      <c r="S12" s="228"/>
      <c r="T12" s="179">
        <f t="shared" si="0"/>
        <v>0</v>
      </c>
      <c r="U12" s="179">
        <f t="shared" si="1"/>
        <v>0</v>
      </c>
      <c r="V12" s="179">
        <f>T12*1.5</f>
        <v>0</v>
      </c>
      <c r="W12" s="199">
        <f t="shared" si="2"/>
        <v>0</v>
      </c>
    </row>
    <row r="13" spans="2:23" ht="100.05" customHeight="1" x14ac:dyDescent="0.45">
      <c r="B13" s="173" t="s">
        <v>177</v>
      </c>
      <c r="C13" s="146"/>
      <c r="D13" s="177">
        <v>10</v>
      </c>
      <c r="E13" s="177" t="s">
        <v>178</v>
      </c>
      <c r="F13" s="178">
        <v>123</v>
      </c>
      <c r="G13" s="216"/>
      <c r="H13" s="217"/>
      <c r="I13" s="218"/>
      <c r="J13" s="219"/>
      <c r="K13" s="220"/>
      <c r="L13" s="221"/>
      <c r="M13" s="222"/>
      <c r="N13" s="223"/>
      <c r="O13" s="224"/>
      <c r="P13" s="225"/>
      <c r="Q13" s="226"/>
      <c r="R13" s="227"/>
      <c r="S13" s="228"/>
      <c r="T13" s="179">
        <f>SUM(G13:S13)</f>
        <v>0</v>
      </c>
      <c r="U13" s="179">
        <f>D13*T13</f>
        <v>0</v>
      </c>
      <c r="V13" s="179">
        <f>T13*1.98</f>
        <v>0</v>
      </c>
      <c r="W13" s="199">
        <f>F13*T13</f>
        <v>0</v>
      </c>
    </row>
    <row r="14" spans="2:23" ht="100.05" customHeight="1" x14ac:dyDescent="0.45">
      <c r="B14" s="173" t="s">
        <v>68</v>
      </c>
      <c r="C14" s="146"/>
      <c r="D14" s="177">
        <v>10</v>
      </c>
      <c r="E14" s="177" t="s">
        <v>179</v>
      </c>
      <c r="F14" s="178">
        <v>104</v>
      </c>
      <c r="G14" s="216"/>
      <c r="H14" s="217"/>
      <c r="I14" s="218"/>
      <c r="J14" s="219"/>
      <c r="K14" s="220"/>
      <c r="L14" s="221"/>
      <c r="M14" s="222"/>
      <c r="N14" s="223"/>
      <c r="O14" s="224"/>
      <c r="P14" s="225"/>
      <c r="Q14" s="226"/>
      <c r="R14" s="227"/>
      <c r="S14" s="228"/>
      <c r="T14" s="179">
        <f>SUM(G14:S14)</f>
        <v>0</v>
      </c>
      <c r="U14" s="179">
        <f>D14*T14</f>
        <v>0</v>
      </c>
      <c r="V14" s="179">
        <f>T14*1.58</f>
        <v>0</v>
      </c>
      <c r="W14" s="199">
        <f>F14*T14</f>
        <v>0</v>
      </c>
    </row>
    <row r="15" spans="2:23" ht="100.05" customHeight="1" x14ac:dyDescent="0.45">
      <c r="B15" s="173" t="s">
        <v>180</v>
      </c>
      <c r="C15" s="146"/>
      <c r="D15" s="177">
        <v>10</v>
      </c>
      <c r="E15" s="177" t="s">
        <v>181</v>
      </c>
      <c r="F15" s="178">
        <v>100</v>
      </c>
      <c r="G15" s="216"/>
      <c r="H15" s="217"/>
      <c r="I15" s="218"/>
      <c r="J15" s="219"/>
      <c r="K15" s="220"/>
      <c r="L15" s="221"/>
      <c r="M15" s="222"/>
      <c r="N15" s="223"/>
      <c r="O15" s="224"/>
      <c r="P15" s="225"/>
      <c r="Q15" s="226"/>
      <c r="R15" s="227"/>
      <c r="S15" s="228"/>
      <c r="T15" s="179">
        <f>SUM(G15:S15)</f>
        <v>0</v>
      </c>
      <c r="U15" s="179">
        <f>D15*T15</f>
        <v>0</v>
      </c>
      <c r="V15" s="179">
        <f>T15*1.52</f>
        <v>0</v>
      </c>
      <c r="W15" s="199">
        <f>F15*T15</f>
        <v>0</v>
      </c>
    </row>
    <row r="16" spans="2:23" ht="100.05" customHeight="1" x14ac:dyDescent="0.45">
      <c r="B16" s="173" t="s">
        <v>182</v>
      </c>
      <c r="C16" s="146"/>
      <c r="D16" s="177">
        <v>3</v>
      </c>
      <c r="E16" s="177" t="s">
        <v>183</v>
      </c>
      <c r="F16" s="178"/>
      <c r="G16" s="216"/>
      <c r="H16" s="217"/>
      <c r="I16" s="218"/>
      <c r="J16" s="219"/>
      <c r="K16" s="220"/>
      <c r="L16" s="221"/>
      <c r="M16" s="222"/>
      <c r="N16" s="223"/>
      <c r="O16" s="224"/>
      <c r="P16" s="225"/>
      <c r="Q16" s="226"/>
      <c r="R16" s="227"/>
      <c r="S16" s="228"/>
      <c r="T16" s="179">
        <f>SUM(G16:S16)</f>
        <v>0</v>
      </c>
      <c r="U16" s="179">
        <f>D16*T16</f>
        <v>0</v>
      </c>
      <c r="V16" s="179"/>
      <c r="W16" s="199">
        <f>F16*T16</f>
        <v>0</v>
      </c>
    </row>
    <row r="17" spans="2:23" ht="100.05" customHeight="1" x14ac:dyDescent="0.45">
      <c r="B17" s="173" t="s">
        <v>83</v>
      </c>
      <c r="C17" s="146"/>
      <c r="D17" s="177">
        <v>10</v>
      </c>
      <c r="E17" s="177" t="s">
        <v>131</v>
      </c>
      <c r="F17" s="178">
        <v>137.5</v>
      </c>
      <c r="G17" s="216"/>
      <c r="H17" s="217"/>
      <c r="I17" s="218"/>
      <c r="J17" s="219"/>
      <c r="K17" s="220"/>
      <c r="L17" s="221"/>
      <c r="M17" s="222"/>
      <c r="N17" s="223"/>
      <c r="O17" s="224"/>
      <c r="P17" s="225"/>
      <c r="Q17" s="226"/>
      <c r="R17" s="227"/>
      <c r="S17" s="228"/>
      <c r="T17" s="179">
        <f t="shared" si="0"/>
        <v>0</v>
      </c>
      <c r="U17" s="179">
        <f t="shared" si="1"/>
        <v>0</v>
      </c>
      <c r="V17" s="179">
        <f>T17*2.4</f>
        <v>0</v>
      </c>
      <c r="W17" s="199">
        <f t="shared" si="2"/>
        <v>0</v>
      </c>
    </row>
    <row r="18" spans="2:23" ht="100.05" customHeight="1" x14ac:dyDescent="0.45">
      <c r="B18" s="173" t="s">
        <v>184</v>
      </c>
      <c r="C18" s="146"/>
      <c r="D18" s="177">
        <v>10</v>
      </c>
      <c r="E18" s="177" t="s">
        <v>185</v>
      </c>
      <c r="F18" s="178">
        <v>188</v>
      </c>
      <c r="G18" s="216"/>
      <c r="H18" s="217"/>
      <c r="I18" s="218"/>
      <c r="J18" s="219"/>
      <c r="K18" s="220"/>
      <c r="L18" s="221"/>
      <c r="M18" s="222"/>
      <c r="N18" s="223"/>
      <c r="O18" s="224"/>
      <c r="P18" s="225"/>
      <c r="Q18" s="226"/>
      <c r="R18" s="227"/>
      <c r="S18" s="228"/>
      <c r="T18" s="179">
        <f>SUM(G18:S18)</f>
        <v>0</v>
      </c>
      <c r="U18" s="179">
        <f>D18*T18</f>
        <v>0</v>
      </c>
      <c r="V18" s="179">
        <f>T18*3.31</f>
        <v>0</v>
      </c>
      <c r="W18" s="199">
        <f>F18*T18</f>
        <v>0</v>
      </c>
    </row>
    <row r="19" spans="2:23" ht="100.05" customHeight="1" x14ac:dyDescent="0.45">
      <c r="B19" s="173" t="s">
        <v>186</v>
      </c>
      <c r="C19" s="146"/>
      <c r="D19" s="177">
        <v>5</v>
      </c>
      <c r="E19" s="177" t="s">
        <v>187</v>
      </c>
      <c r="F19" s="178">
        <v>109</v>
      </c>
      <c r="G19" s="216"/>
      <c r="H19" s="217"/>
      <c r="I19" s="218"/>
      <c r="J19" s="219"/>
      <c r="K19" s="220"/>
      <c r="L19" s="221"/>
      <c r="M19" s="222"/>
      <c r="N19" s="223"/>
      <c r="O19" s="224"/>
      <c r="P19" s="225"/>
      <c r="Q19" s="226"/>
      <c r="R19" s="227"/>
      <c r="S19" s="228"/>
      <c r="T19" s="179">
        <f>SUM(G19:S19)</f>
        <v>0</v>
      </c>
      <c r="U19" s="179">
        <f>+D19*T19</f>
        <v>0</v>
      </c>
      <c r="V19" s="179">
        <f>T19*1.96</f>
        <v>0</v>
      </c>
      <c r="W19" s="199">
        <f>F19*T19</f>
        <v>0</v>
      </c>
    </row>
    <row r="20" spans="2:23" ht="100.05" customHeight="1" x14ac:dyDescent="0.45">
      <c r="B20" s="173" t="s">
        <v>126</v>
      </c>
      <c r="C20" s="146"/>
      <c r="D20" s="177">
        <v>5</v>
      </c>
      <c r="E20" s="177" t="s">
        <v>132</v>
      </c>
      <c r="F20" s="178">
        <v>150</v>
      </c>
      <c r="G20" s="216"/>
      <c r="H20" s="217"/>
      <c r="I20" s="218"/>
      <c r="J20" s="219"/>
      <c r="K20" s="220"/>
      <c r="L20" s="221"/>
      <c r="M20" s="222"/>
      <c r="N20" s="223"/>
      <c r="O20" s="224"/>
      <c r="P20" s="225"/>
      <c r="Q20" s="226"/>
      <c r="R20" s="227"/>
      <c r="S20" s="228"/>
      <c r="T20" s="179">
        <f t="shared" si="0"/>
        <v>0</v>
      </c>
      <c r="U20" s="179">
        <f t="shared" si="1"/>
        <v>0</v>
      </c>
      <c r="V20" s="179">
        <f>T20*1.52</f>
        <v>0</v>
      </c>
      <c r="W20" s="199">
        <f t="shared" si="2"/>
        <v>0</v>
      </c>
    </row>
    <row r="21" spans="2:23" ht="100.05" customHeight="1" x14ac:dyDescent="0.45">
      <c r="B21" s="173" t="s">
        <v>147</v>
      </c>
      <c r="C21" s="146"/>
      <c r="D21" s="177">
        <v>5</v>
      </c>
      <c r="E21" s="177" t="s">
        <v>188</v>
      </c>
      <c r="F21" s="178"/>
      <c r="G21" s="216"/>
      <c r="H21" s="217"/>
      <c r="I21" s="218"/>
      <c r="J21" s="219"/>
      <c r="K21" s="220"/>
      <c r="L21" s="221"/>
      <c r="M21" s="222"/>
      <c r="N21" s="223"/>
      <c r="O21" s="224"/>
      <c r="P21" s="225"/>
      <c r="Q21" s="226"/>
      <c r="R21" s="227"/>
      <c r="S21" s="228"/>
      <c r="T21" s="179">
        <f>SUM(G21:S21)</f>
        <v>0</v>
      </c>
      <c r="U21" s="179">
        <f>D21*T21</f>
        <v>0</v>
      </c>
      <c r="V21" s="179"/>
      <c r="W21" s="199">
        <f>F21*T21</f>
        <v>0</v>
      </c>
    </row>
    <row r="22" spans="2:23" ht="100.05" customHeight="1" x14ac:dyDescent="0.45">
      <c r="B22" s="173" t="s">
        <v>127</v>
      </c>
      <c r="C22" s="146"/>
      <c r="D22" s="177">
        <v>3</v>
      </c>
      <c r="E22" s="177" t="s">
        <v>133</v>
      </c>
      <c r="F22" s="178">
        <v>122.5</v>
      </c>
      <c r="G22" s="216"/>
      <c r="H22" s="217"/>
      <c r="I22" s="218"/>
      <c r="J22" s="219"/>
      <c r="K22" s="220"/>
      <c r="L22" s="221"/>
      <c r="M22" s="222"/>
      <c r="N22" s="223"/>
      <c r="O22" s="224"/>
      <c r="P22" s="225"/>
      <c r="Q22" s="226"/>
      <c r="R22" s="227"/>
      <c r="S22" s="228"/>
      <c r="T22" s="179">
        <f t="shared" si="0"/>
        <v>0</v>
      </c>
      <c r="U22" s="179">
        <f t="shared" si="1"/>
        <v>0</v>
      </c>
      <c r="V22" s="179">
        <f>T22*1.55</f>
        <v>0</v>
      </c>
      <c r="W22" s="199">
        <f t="shared" si="2"/>
        <v>0</v>
      </c>
    </row>
    <row r="23" spans="2:23" ht="100.05" customHeight="1" x14ac:dyDescent="0.45">
      <c r="B23" s="174" t="s">
        <v>189</v>
      </c>
      <c r="C23" s="149"/>
      <c r="D23" s="183">
        <v>4</v>
      </c>
      <c r="E23" s="183" t="s">
        <v>190</v>
      </c>
      <c r="F23" s="184"/>
      <c r="G23" s="229"/>
      <c r="H23" s="230"/>
      <c r="I23" s="231"/>
      <c r="J23" s="232"/>
      <c r="K23" s="233"/>
      <c r="L23" s="234"/>
      <c r="M23" s="235"/>
      <c r="N23" s="236"/>
      <c r="O23" s="237"/>
      <c r="P23" s="238"/>
      <c r="Q23" s="239"/>
      <c r="R23" s="240"/>
      <c r="S23" s="241"/>
      <c r="T23" s="171">
        <f>SUM(G23:S23)</f>
        <v>0</v>
      </c>
      <c r="U23" s="171">
        <f>D23*T23</f>
        <v>0</v>
      </c>
      <c r="V23" s="171"/>
      <c r="W23" s="202">
        <f>F23*T23</f>
        <v>0</v>
      </c>
    </row>
    <row r="24" spans="2:23" ht="100.05" customHeight="1" x14ac:dyDescent="0.45">
      <c r="B24" s="174" t="s">
        <v>128</v>
      </c>
      <c r="C24" s="149"/>
      <c r="D24" s="183">
        <v>5</v>
      </c>
      <c r="E24" s="183" t="s">
        <v>134</v>
      </c>
      <c r="F24" s="184">
        <v>162</v>
      </c>
      <c r="G24" s="229"/>
      <c r="H24" s="230"/>
      <c r="I24" s="231"/>
      <c r="J24" s="232"/>
      <c r="K24" s="233"/>
      <c r="L24" s="234"/>
      <c r="M24" s="235"/>
      <c r="N24" s="236"/>
      <c r="O24" s="237"/>
      <c r="P24" s="238"/>
      <c r="Q24" s="239"/>
      <c r="R24" s="240"/>
      <c r="S24" s="241"/>
      <c r="T24" s="171">
        <f t="shared" si="0"/>
        <v>0</v>
      </c>
      <c r="U24" s="171">
        <f t="shared" si="1"/>
        <v>0</v>
      </c>
      <c r="V24" s="171">
        <f>T24*2.46</f>
        <v>0</v>
      </c>
      <c r="W24" s="202">
        <f t="shared" si="2"/>
        <v>0</v>
      </c>
    </row>
    <row r="25" spans="2:23" ht="100.05" customHeight="1" x14ac:dyDescent="0.45">
      <c r="B25" s="173" t="s">
        <v>191</v>
      </c>
      <c r="C25" s="146"/>
      <c r="D25" s="177">
        <v>5</v>
      </c>
      <c r="E25" s="177" t="s">
        <v>192</v>
      </c>
      <c r="F25" s="178">
        <v>94</v>
      </c>
      <c r="G25" s="216"/>
      <c r="H25" s="217"/>
      <c r="I25" s="218"/>
      <c r="J25" s="219"/>
      <c r="K25" s="220"/>
      <c r="L25" s="221"/>
      <c r="M25" s="222"/>
      <c r="N25" s="223"/>
      <c r="O25" s="224"/>
      <c r="P25" s="225"/>
      <c r="Q25" s="226"/>
      <c r="R25" s="227"/>
      <c r="S25" s="228"/>
      <c r="T25" s="179">
        <f>SUM(G25:S25)</f>
        <v>0</v>
      </c>
      <c r="U25" s="179">
        <f>D25*T25</f>
        <v>0</v>
      </c>
      <c r="V25" s="179">
        <f>T25*1.67</f>
        <v>0</v>
      </c>
      <c r="W25" s="199">
        <f>F25*T25</f>
        <v>0</v>
      </c>
    </row>
    <row r="26" spans="2:23" ht="100.05" customHeight="1" x14ac:dyDescent="0.45">
      <c r="B26" s="173" t="s">
        <v>41</v>
      </c>
      <c r="C26" s="146"/>
      <c r="D26" s="177">
        <v>5</v>
      </c>
      <c r="E26" s="177" t="s">
        <v>193</v>
      </c>
      <c r="F26" s="178">
        <v>138</v>
      </c>
      <c r="G26" s="216"/>
      <c r="H26" s="217"/>
      <c r="I26" s="218"/>
      <c r="J26" s="219"/>
      <c r="K26" s="220"/>
      <c r="L26" s="221"/>
      <c r="M26" s="222"/>
      <c r="N26" s="223"/>
      <c r="O26" s="224"/>
      <c r="P26" s="225"/>
      <c r="Q26" s="226"/>
      <c r="R26" s="227"/>
      <c r="S26" s="228"/>
      <c r="T26" s="179">
        <f>SUM(G26:S26)</f>
        <v>0</v>
      </c>
      <c r="U26" s="179">
        <f>D26*T26</f>
        <v>0</v>
      </c>
      <c r="V26" s="179">
        <f>T26*1.79</f>
        <v>0</v>
      </c>
      <c r="W26" s="199">
        <f>F26*T26</f>
        <v>0</v>
      </c>
    </row>
    <row r="27" spans="2:23" ht="100.05" customHeight="1" x14ac:dyDescent="0.45">
      <c r="B27" s="173" t="s">
        <v>40</v>
      </c>
      <c r="C27" s="146"/>
      <c r="D27" s="177">
        <v>5</v>
      </c>
      <c r="E27" s="177" t="s">
        <v>194</v>
      </c>
      <c r="F27" s="178">
        <v>138</v>
      </c>
      <c r="G27" s="216"/>
      <c r="H27" s="217"/>
      <c r="I27" s="218"/>
      <c r="J27" s="219"/>
      <c r="K27" s="220"/>
      <c r="L27" s="221"/>
      <c r="M27" s="222"/>
      <c r="N27" s="223"/>
      <c r="O27" s="224"/>
      <c r="P27" s="225"/>
      <c r="Q27" s="226"/>
      <c r="R27" s="227"/>
      <c r="S27" s="228"/>
      <c r="T27" s="179">
        <f>SUM(G27:S27)</f>
        <v>0</v>
      </c>
      <c r="U27" s="179">
        <f>D27*T27</f>
        <v>0</v>
      </c>
      <c r="V27" s="179">
        <f>T27*2.27</f>
        <v>0</v>
      </c>
      <c r="W27" s="199">
        <f>F27*T27</f>
        <v>0</v>
      </c>
    </row>
    <row r="28" spans="2:23" ht="100.05" customHeight="1" thickBot="1" x14ac:dyDescent="0.5">
      <c r="B28" s="156" t="s">
        <v>195</v>
      </c>
      <c r="C28" s="147"/>
      <c r="D28" s="163">
        <v>5</v>
      </c>
      <c r="E28" s="163" t="s">
        <v>196</v>
      </c>
      <c r="F28" s="164">
        <v>188</v>
      </c>
      <c r="G28" s="229"/>
      <c r="H28" s="230"/>
      <c r="I28" s="231"/>
      <c r="J28" s="232"/>
      <c r="K28" s="233"/>
      <c r="L28" s="234"/>
      <c r="M28" s="235"/>
      <c r="N28" s="236"/>
      <c r="O28" s="237"/>
      <c r="P28" s="238"/>
      <c r="Q28" s="239"/>
      <c r="R28" s="240"/>
      <c r="S28" s="241"/>
      <c r="T28" s="171">
        <f>SUM(G28:S28)</f>
        <v>0</v>
      </c>
      <c r="U28" s="171">
        <f>D28*T28</f>
        <v>0</v>
      </c>
      <c r="V28" s="171">
        <f>T28*3.11</f>
        <v>0</v>
      </c>
      <c r="W28" s="202">
        <f>+F28*T28</f>
        <v>0</v>
      </c>
    </row>
    <row r="29" spans="2:23" x14ac:dyDescent="0.45">
      <c r="B29" s="35"/>
      <c r="C29" s="35"/>
      <c r="D29" s="35"/>
      <c r="E29" s="35"/>
      <c r="F29" s="35"/>
      <c r="G29" s="63">
        <f t="shared" ref="G29:W29" si="3">SUM(G6:G28)</f>
        <v>0</v>
      </c>
      <c r="H29" s="63">
        <f t="shared" si="3"/>
        <v>0</v>
      </c>
      <c r="I29" s="63">
        <f t="shared" si="3"/>
        <v>0</v>
      </c>
      <c r="J29" s="63">
        <f t="shared" si="3"/>
        <v>0</v>
      </c>
      <c r="K29" s="63">
        <f t="shared" si="3"/>
        <v>0</v>
      </c>
      <c r="L29" s="63">
        <f t="shared" si="3"/>
        <v>0</v>
      </c>
      <c r="M29" s="63">
        <f t="shared" si="3"/>
        <v>0</v>
      </c>
      <c r="N29" s="63">
        <f t="shared" si="3"/>
        <v>0</v>
      </c>
      <c r="O29" s="63">
        <f t="shared" si="3"/>
        <v>0</v>
      </c>
      <c r="P29" s="63">
        <f t="shared" si="3"/>
        <v>0</v>
      </c>
      <c r="Q29" s="63">
        <f t="shared" si="3"/>
        <v>0</v>
      </c>
      <c r="R29" s="63">
        <f t="shared" si="3"/>
        <v>0</v>
      </c>
      <c r="S29" s="63">
        <f t="shared" si="3"/>
        <v>0</v>
      </c>
      <c r="T29" s="55">
        <f t="shared" si="3"/>
        <v>0</v>
      </c>
      <c r="U29" s="55">
        <f t="shared" si="3"/>
        <v>0</v>
      </c>
      <c r="V29" s="55">
        <f t="shared" si="3"/>
        <v>0</v>
      </c>
      <c r="W29" s="75">
        <f t="shared" si="3"/>
        <v>0</v>
      </c>
    </row>
  </sheetData>
  <sheetProtection algorithmName="SHA-512" hashValue="e7wgvfFV7Nn2TdfBOsA0nKoQv7dnXrUEw5UHqndCWB9I3EV0oh2VvjQbDz2dOmCbfAET8zCYeXG69/pbr148cA==" saltValue="Gi8QJGDVPD3F8fL6tJ0doA==" spinCount="100000" sheet="1" objects="1" scenarios="1" selectLockedCells="1"/>
  <mergeCells count="1">
    <mergeCell ref="B2: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BC74A-5310-47BE-B2E6-962FC039D405}">
  <sheetPr>
    <tabColor theme="9" tint="0.39997558519241921"/>
  </sheetPr>
  <dimension ref="B2:V30"/>
  <sheetViews>
    <sheetView zoomScale="82" zoomScaleNormal="82" workbookViewId="0">
      <selection activeCell="F8" sqref="F8"/>
    </sheetView>
  </sheetViews>
  <sheetFormatPr defaultRowHeight="14.25" x14ac:dyDescent="0.45"/>
  <cols>
    <col min="1" max="1" width="9.06640625" customWidth="1"/>
    <col min="2" max="2" width="13.33203125" customWidth="1"/>
    <col min="22" max="22" width="11.796875" customWidth="1"/>
  </cols>
  <sheetData>
    <row r="2" spans="2:22" s="70" customFormat="1" x14ac:dyDescent="0.45">
      <c r="B2" s="384" t="s">
        <v>136</v>
      </c>
      <c r="C2" s="384"/>
      <c r="D2" s="384"/>
      <c r="E2" s="384"/>
    </row>
    <row r="3" spans="2:22" s="70" customFormat="1" x14ac:dyDescent="0.45">
      <c r="B3" s="384"/>
      <c r="C3" s="384"/>
      <c r="D3" s="384"/>
      <c r="E3" s="384"/>
    </row>
    <row r="4" spans="2:22" s="70" customFormat="1" x14ac:dyDescent="0.45"/>
    <row r="5" spans="2:22" ht="14.25" customHeight="1" thickBot="1" x14ac:dyDescent="0.9">
      <c r="B5" s="64"/>
      <c r="C5" s="65"/>
      <c r="D5" s="65"/>
      <c r="E5" s="6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40"/>
      <c r="T5" s="40"/>
      <c r="U5" s="40"/>
      <c r="V5" s="40"/>
    </row>
    <row r="6" spans="2:22" ht="14.25" customHeight="1" thickBot="1" x14ac:dyDescent="0.5">
      <c r="B6" s="125" t="s">
        <v>11</v>
      </c>
      <c r="C6" s="126" t="s">
        <v>12</v>
      </c>
      <c r="D6" s="126" t="s">
        <v>13</v>
      </c>
      <c r="E6" s="126" t="s">
        <v>14</v>
      </c>
      <c r="F6" s="79">
        <v>2</v>
      </c>
      <c r="G6" s="80">
        <v>5</v>
      </c>
      <c r="H6" s="81">
        <v>7</v>
      </c>
      <c r="I6" s="82">
        <v>10</v>
      </c>
      <c r="J6" s="83">
        <v>11</v>
      </c>
      <c r="K6" s="91">
        <v>12</v>
      </c>
      <c r="L6" s="84">
        <v>13</v>
      </c>
      <c r="M6" s="85">
        <v>16</v>
      </c>
      <c r="N6" s="86">
        <v>69</v>
      </c>
      <c r="O6" s="87">
        <v>76</v>
      </c>
      <c r="P6" s="88">
        <v>77</v>
      </c>
      <c r="Q6" s="89">
        <v>79</v>
      </c>
      <c r="R6" s="90">
        <v>81</v>
      </c>
      <c r="S6" s="101" t="s">
        <v>60</v>
      </c>
      <c r="T6" s="101" t="s">
        <v>61</v>
      </c>
      <c r="U6" s="101" t="s">
        <v>59</v>
      </c>
      <c r="V6" s="101" t="s">
        <v>202</v>
      </c>
    </row>
    <row r="7" spans="2:22" ht="14.65" thickBot="1" x14ac:dyDescent="0.5">
      <c r="B7" s="35"/>
      <c r="C7" s="385" t="s">
        <v>137</v>
      </c>
      <c r="D7" s="38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40"/>
      <c r="T7" s="40"/>
      <c r="U7" s="40"/>
      <c r="V7" s="40"/>
    </row>
    <row r="8" spans="2:22" x14ac:dyDescent="0.45">
      <c r="B8" s="306" t="s">
        <v>97</v>
      </c>
      <c r="C8" s="307">
        <v>10</v>
      </c>
      <c r="D8" s="307" t="s">
        <v>151</v>
      </c>
      <c r="E8" s="309">
        <v>125</v>
      </c>
      <c r="F8" s="21"/>
      <c r="G8" s="22"/>
      <c r="H8" s="23"/>
      <c r="I8" s="95"/>
      <c r="J8" s="24"/>
      <c r="K8" s="26"/>
      <c r="L8" s="103"/>
      <c r="M8" s="29"/>
      <c r="N8" s="27"/>
      <c r="O8" s="25"/>
      <c r="P8" s="28"/>
      <c r="Q8" s="62"/>
      <c r="R8" s="30"/>
      <c r="S8" s="308">
        <f>SUM(F8:R8)</f>
        <v>0</v>
      </c>
      <c r="T8" s="308">
        <f>C8*S8</f>
        <v>0</v>
      </c>
      <c r="U8" s="308">
        <f>S8*1.98</f>
        <v>0</v>
      </c>
      <c r="V8" s="312">
        <f>E8*S8</f>
        <v>0</v>
      </c>
    </row>
    <row r="9" spans="2:22" x14ac:dyDescent="0.45">
      <c r="B9" s="52" t="s">
        <v>99</v>
      </c>
      <c r="C9" s="53">
        <v>10</v>
      </c>
      <c r="D9" s="53" t="s">
        <v>152</v>
      </c>
      <c r="E9" s="75">
        <v>163</v>
      </c>
      <c r="F9" s="3"/>
      <c r="G9" s="4"/>
      <c r="H9" s="2"/>
      <c r="I9" s="96"/>
      <c r="J9" s="5"/>
      <c r="K9" s="7"/>
      <c r="L9" s="98"/>
      <c r="M9" s="10"/>
      <c r="N9" s="8"/>
      <c r="O9" s="6"/>
      <c r="P9" s="9"/>
      <c r="Q9" s="54"/>
      <c r="R9" s="11"/>
      <c r="S9" s="55">
        <f>SUM(F9:R9)</f>
        <v>0</v>
      </c>
      <c r="T9" s="55">
        <f>C9*S9</f>
        <v>0</v>
      </c>
      <c r="U9" s="55">
        <f>S9*2.82</f>
        <v>0</v>
      </c>
      <c r="V9" s="313">
        <f>E9*S9</f>
        <v>0</v>
      </c>
    </row>
    <row r="10" spans="2:22" x14ac:dyDescent="0.45">
      <c r="B10" s="52" t="s">
        <v>100</v>
      </c>
      <c r="C10" s="53">
        <v>10</v>
      </c>
      <c r="D10" s="53" t="s">
        <v>153</v>
      </c>
      <c r="E10" s="75">
        <v>288</v>
      </c>
      <c r="F10" s="3"/>
      <c r="G10" s="4"/>
      <c r="H10" s="2"/>
      <c r="I10" s="96"/>
      <c r="J10" s="5"/>
      <c r="K10" s="7"/>
      <c r="L10" s="98"/>
      <c r="M10" s="10"/>
      <c r="N10" s="8"/>
      <c r="O10" s="6"/>
      <c r="P10" s="9"/>
      <c r="Q10" s="54"/>
      <c r="R10" s="11"/>
      <c r="S10" s="55">
        <f>SUM(F10:R10)</f>
        <v>0</v>
      </c>
      <c r="T10" s="55">
        <f>C10*S10</f>
        <v>0</v>
      </c>
      <c r="U10" s="55">
        <f>S10*5.41</f>
        <v>0</v>
      </c>
      <c r="V10" s="313">
        <f>E10*S10</f>
        <v>0</v>
      </c>
    </row>
    <row r="11" spans="2:22" x14ac:dyDescent="0.45">
      <c r="B11" s="38" t="s">
        <v>144</v>
      </c>
      <c r="C11" s="39">
        <v>5</v>
      </c>
      <c r="D11" s="39" t="s">
        <v>154</v>
      </c>
      <c r="E11" s="310"/>
      <c r="F11" s="3"/>
      <c r="G11" s="4"/>
      <c r="H11" s="2"/>
      <c r="I11" s="96"/>
      <c r="J11" s="5"/>
      <c r="K11" s="7"/>
      <c r="L11" s="98"/>
      <c r="M11" s="10"/>
      <c r="N11" s="8"/>
      <c r="O11" s="6"/>
      <c r="P11" s="9"/>
      <c r="Q11" s="54"/>
      <c r="R11" s="11"/>
      <c r="S11" s="45"/>
      <c r="T11" s="45"/>
      <c r="U11" s="45"/>
      <c r="V11" s="58"/>
    </row>
    <row r="12" spans="2:22" x14ac:dyDescent="0.45">
      <c r="B12" s="38" t="s">
        <v>145</v>
      </c>
      <c r="C12" s="39">
        <v>10</v>
      </c>
      <c r="D12" s="39" t="s">
        <v>155</v>
      </c>
      <c r="E12" s="310"/>
      <c r="F12" s="3"/>
      <c r="G12" s="4"/>
      <c r="H12" s="2"/>
      <c r="I12" s="96"/>
      <c r="J12" s="5"/>
      <c r="K12" s="7"/>
      <c r="L12" s="98"/>
      <c r="M12" s="10"/>
      <c r="N12" s="8"/>
      <c r="O12" s="6"/>
      <c r="P12" s="9"/>
      <c r="Q12" s="54"/>
      <c r="R12" s="11"/>
      <c r="S12" s="45"/>
      <c r="T12" s="45"/>
      <c r="U12" s="45"/>
      <c r="V12" s="58"/>
    </row>
    <row r="13" spans="2:22" x14ac:dyDescent="0.45">
      <c r="B13" s="38" t="s">
        <v>139</v>
      </c>
      <c r="C13" s="39">
        <v>3</v>
      </c>
      <c r="D13" s="39" t="s">
        <v>156</v>
      </c>
      <c r="E13" s="310"/>
      <c r="F13" s="3"/>
      <c r="G13" s="4"/>
      <c r="H13" s="2"/>
      <c r="I13" s="96"/>
      <c r="J13" s="5"/>
      <c r="K13" s="7"/>
      <c r="L13" s="98"/>
      <c r="M13" s="10"/>
      <c r="N13" s="8"/>
      <c r="O13" s="6"/>
      <c r="P13" s="9"/>
      <c r="Q13" s="54"/>
      <c r="R13" s="11"/>
      <c r="S13" s="45"/>
      <c r="T13" s="45"/>
      <c r="U13" s="45"/>
      <c r="V13" s="58"/>
    </row>
    <row r="14" spans="2:22" x14ac:dyDescent="0.45">
      <c r="B14" s="38" t="s">
        <v>140</v>
      </c>
      <c r="C14" s="39">
        <v>5</v>
      </c>
      <c r="D14" s="39" t="s">
        <v>157</v>
      </c>
      <c r="E14" s="310"/>
      <c r="F14" s="3"/>
      <c r="G14" s="4"/>
      <c r="H14" s="2"/>
      <c r="I14" s="96"/>
      <c r="J14" s="5"/>
      <c r="K14" s="7"/>
      <c r="L14" s="98"/>
      <c r="M14" s="10"/>
      <c r="N14" s="8"/>
      <c r="O14" s="6"/>
      <c r="P14" s="9"/>
      <c r="Q14" s="54"/>
      <c r="R14" s="11"/>
      <c r="S14" s="45"/>
      <c r="T14" s="45"/>
      <c r="U14" s="45"/>
      <c r="V14" s="58"/>
    </row>
    <row r="15" spans="2:22" x14ac:dyDescent="0.45">
      <c r="B15" s="38" t="s">
        <v>141</v>
      </c>
      <c r="C15" s="39">
        <v>1</v>
      </c>
      <c r="D15" s="39" t="s">
        <v>158</v>
      </c>
      <c r="E15" s="310"/>
      <c r="F15" s="3"/>
      <c r="G15" s="4"/>
      <c r="H15" s="2"/>
      <c r="I15" s="96"/>
      <c r="J15" s="5"/>
      <c r="K15" s="7"/>
      <c r="L15" s="98"/>
      <c r="M15" s="10"/>
      <c r="N15" s="8"/>
      <c r="O15" s="6"/>
      <c r="P15" s="9"/>
      <c r="Q15" s="54"/>
      <c r="R15" s="11"/>
      <c r="S15" s="45"/>
      <c r="T15" s="45"/>
      <c r="U15" s="45"/>
      <c r="V15" s="58"/>
    </row>
    <row r="16" spans="2:22" x14ac:dyDescent="0.45">
      <c r="B16" s="38" t="s">
        <v>142</v>
      </c>
      <c r="C16" s="39">
        <v>1</v>
      </c>
      <c r="D16" s="39" t="s">
        <v>159</v>
      </c>
      <c r="E16" s="310"/>
      <c r="F16" s="3"/>
      <c r="G16" s="4"/>
      <c r="H16" s="2"/>
      <c r="I16" s="96"/>
      <c r="J16" s="5"/>
      <c r="K16" s="7"/>
      <c r="L16" s="98"/>
      <c r="M16" s="10"/>
      <c r="N16" s="8"/>
      <c r="O16" s="6"/>
      <c r="P16" s="9"/>
      <c r="Q16" s="54"/>
      <c r="R16" s="11"/>
      <c r="S16" s="45"/>
      <c r="T16" s="45"/>
      <c r="U16" s="45"/>
      <c r="V16" s="58"/>
    </row>
    <row r="17" spans="2:22" ht="14.65" thickBot="1" x14ac:dyDescent="0.5">
      <c r="B17" s="41" t="s">
        <v>143</v>
      </c>
      <c r="C17" s="42">
        <v>1</v>
      </c>
      <c r="D17" s="42" t="s">
        <v>160</v>
      </c>
      <c r="E17" s="311"/>
      <c r="F17" s="12"/>
      <c r="G17" s="13"/>
      <c r="H17" s="14"/>
      <c r="I17" s="97"/>
      <c r="J17" s="15"/>
      <c r="K17" s="17"/>
      <c r="L17" s="104"/>
      <c r="M17" s="19"/>
      <c r="N17" s="18"/>
      <c r="O17" s="16"/>
      <c r="P17" s="61"/>
      <c r="Q17" s="51"/>
      <c r="R17" s="20"/>
      <c r="S17" s="46"/>
      <c r="T17" s="46"/>
      <c r="U17" s="46"/>
      <c r="V17" s="59"/>
    </row>
    <row r="18" spans="2:22" x14ac:dyDescent="0.45">
      <c r="F18" s="57">
        <f t="shared" ref="F18:V18" si="0">SUM(F8:F17)</f>
        <v>0</v>
      </c>
      <c r="G18" s="57">
        <f t="shared" si="0"/>
        <v>0</v>
      </c>
      <c r="H18" s="57">
        <f t="shared" si="0"/>
        <v>0</v>
      </c>
      <c r="I18" s="57">
        <f t="shared" si="0"/>
        <v>0</v>
      </c>
      <c r="J18" s="57">
        <f t="shared" si="0"/>
        <v>0</v>
      </c>
      <c r="K18" s="57">
        <f t="shared" si="0"/>
        <v>0</v>
      </c>
      <c r="L18" s="57">
        <f t="shared" si="0"/>
        <v>0</v>
      </c>
      <c r="M18" s="57">
        <f t="shared" si="0"/>
        <v>0</v>
      </c>
      <c r="N18" s="57">
        <f t="shared" si="0"/>
        <v>0</v>
      </c>
      <c r="O18" s="57">
        <f t="shared" si="0"/>
        <v>0</v>
      </c>
      <c r="P18" s="57">
        <f t="shared" si="0"/>
        <v>0</v>
      </c>
      <c r="Q18" s="57">
        <f t="shared" si="0"/>
        <v>0</v>
      </c>
      <c r="R18" s="57">
        <f t="shared" si="0"/>
        <v>0</v>
      </c>
      <c r="S18" s="57">
        <f t="shared" si="0"/>
        <v>0</v>
      </c>
      <c r="T18" s="57">
        <f t="shared" si="0"/>
        <v>0</v>
      </c>
      <c r="U18" s="57">
        <f t="shared" si="0"/>
        <v>0</v>
      </c>
      <c r="V18" s="57">
        <f t="shared" si="0"/>
        <v>0</v>
      </c>
    </row>
    <row r="19" spans="2:22" x14ac:dyDescent="0.45">
      <c r="I19" s="78"/>
    </row>
    <row r="20" spans="2:22" x14ac:dyDescent="0.45">
      <c r="B20" s="60"/>
      <c r="C20" s="386" t="s">
        <v>138</v>
      </c>
      <c r="D20" s="387"/>
      <c r="E20" s="47"/>
      <c r="F20" s="31"/>
      <c r="G20" s="31"/>
      <c r="H20" s="31"/>
      <c r="I20" s="32"/>
      <c r="J20" s="31"/>
      <c r="K20" s="31"/>
      <c r="L20" s="31"/>
      <c r="M20" s="31"/>
      <c r="N20" s="31"/>
      <c r="O20" s="31"/>
      <c r="P20" s="31"/>
      <c r="Q20" s="31"/>
      <c r="R20" s="31"/>
      <c r="S20" s="47"/>
      <c r="T20" s="47"/>
      <c r="U20" s="47"/>
      <c r="V20" s="47"/>
    </row>
    <row r="21" spans="2:22" ht="14.65" thickBot="1" x14ac:dyDescent="0.5">
      <c r="B21" s="60"/>
      <c r="C21" s="66"/>
      <c r="D21" s="67"/>
      <c r="E21" s="47"/>
      <c r="F21" s="31"/>
      <c r="G21" s="31"/>
      <c r="H21" s="31"/>
      <c r="I21" s="32"/>
      <c r="J21" s="31"/>
      <c r="K21" s="31"/>
      <c r="L21" s="31"/>
      <c r="M21" s="31"/>
      <c r="N21" s="31"/>
      <c r="O21" s="31"/>
      <c r="P21" s="31"/>
      <c r="Q21" s="31"/>
      <c r="R21" s="31"/>
      <c r="S21" s="47"/>
      <c r="T21" s="47"/>
      <c r="U21" s="47"/>
      <c r="V21" s="47"/>
    </row>
    <row r="22" spans="2:22" x14ac:dyDescent="0.45">
      <c r="B22" s="306" t="s">
        <v>124</v>
      </c>
      <c r="C22" s="307">
        <v>10</v>
      </c>
      <c r="D22" s="307" t="s">
        <v>161</v>
      </c>
      <c r="E22" s="309">
        <v>69</v>
      </c>
      <c r="F22" s="21"/>
      <c r="G22" s="22"/>
      <c r="H22" s="23"/>
      <c r="I22" s="95"/>
      <c r="J22" s="24"/>
      <c r="K22" s="26"/>
      <c r="L22" s="103"/>
      <c r="M22" s="29"/>
      <c r="N22" s="27"/>
      <c r="O22" s="25"/>
      <c r="P22" s="28"/>
      <c r="Q22" s="62"/>
      <c r="R22" s="30"/>
      <c r="S22" s="308">
        <f>SUM(F22:R22)</f>
        <v>0</v>
      </c>
      <c r="T22" s="308">
        <f>C22*S22</f>
        <v>0</v>
      </c>
      <c r="U22" s="308">
        <f>S22*0.83</f>
        <v>0</v>
      </c>
      <c r="V22" s="312">
        <f>E22*S22</f>
        <v>0</v>
      </c>
    </row>
    <row r="23" spans="2:22" x14ac:dyDescent="0.45">
      <c r="B23" s="52" t="s">
        <v>146</v>
      </c>
      <c r="C23" s="53">
        <v>5</v>
      </c>
      <c r="D23" s="53" t="s">
        <v>162</v>
      </c>
      <c r="E23" s="75">
        <v>123</v>
      </c>
      <c r="F23" s="3"/>
      <c r="G23" s="4"/>
      <c r="H23" s="2"/>
      <c r="I23" s="96"/>
      <c r="J23" s="5"/>
      <c r="K23" s="7"/>
      <c r="L23" s="98"/>
      <c r="M23" s="10"/>
      <c r="N23" s="8"/>
      <c r="O23" s="6"/>
      <c r="P23" s="9"/>
      <c r="Q23" s="54"/>
      <c r="R23" s="11"/>
      <c r="S23" s="55">
        <f>SUM(F23:R23)</f>
        <v>0</v>
      </c>
      <c r="T23" s="55">
        <f>C23*S23</f>
        <v>0</v>
      </c>
      <c r="U23" s="55">
        <f>S23*2.29</f>
        <v>0</v>
      </c>
      <c r="V23" s="313">
        <f>S23*E23</f>
        <v>0</v>
      </c>
    </row>
    <row r="24" spans="2:22" x14ac:dyDescent="0.45">
      <c r="B24" s="38" t="s">
        <v>125</v>
      </c>
      <c r="C24" s="39">
        <v>10</v>
      </c>
      <c r="D24" s="39" t="s">
        <v>163</v>
      </c>
      <c r="E24" s="310"/>
      <c r="F24" s="3"/>
      <c r="G24" s="4"/>
      <c r="H24" s="2"/>
      <c r="I24" s="96"/>
      <c r="J24" s="5"/>
      <c r="K24" s="7"/>
      <c r="L24" s="98"/>
      <c r="M24" s="10"/>
      <c r="N24" s="8"/>
      <c r="O24" s="6"/>
      <c r="P24" s="9"/>
      <c r="Q24" s="54"/>
      <c r="R24" s="11"/>
      <c r="S24" s="45"/>
      <c r="T24" s="45"/>
      <c r="U24" s="45"/>
      <c r="V24" s="58"/>
    </row>
    <row r="25" spans="2:22" x14ac:dyDescent="0.45">
      <c r="B25" s="38" t="s">
        <v>83</v>
      </c>
      <c r="C25" s="39">
        <v>5</v>
      </c>
      <c r="D25" s="39" t="s">
        <v>164</v>
      </c>
      <c r="E25" s="310"/>
      <c r="F25" s="3"/>
      <c r="G25" s="4"/>
      <c r="H25" s="2"/>
      <c r="I25" s="96"/>
      <c r="J25" s="5"/>
      <c r="K25" s="7"/>
      <c r="L25" s="98"/>
      <c r="M25" s="10"/>
      <c r="N25" s="8"/>
      <c r="O25" s="6"/>
      <c r="P25" s="9"/>
      <c r="Q25" s="54"/>
      <c r="R25" s="11"/>
      <c r="S25" s="45"/>
      <c r="T25" s="45"/>
      <c r="U25" s="45"/>
      <c r="V25" s="58"/>
    </row>
    <row r="26" spans="2:22" x14ac:dyDescent="0.45">
      <c r="B26" s="38" t="s">
        <v>147</v>
      </c>
      <c r="C26" s="39">
        <v>5</v>
      </c>
      <c r="D26" s="39" t="s">
        <v>165</v>
      </c>
      <c r="E26" s="310"/>
      <c r="F26" s="3"/>
      <c r="G26" s="4"/>
      <c r="H26" s="2"/>
      <c r="I26" s="96"/>
      <c r="J26" s="5"/>
      <c r="K26" s="7"/>
      <c r="L26" s="98"/>
      <c r="M26" s="10"/>
      <c r="N26" s="8"/>
      <c r="O26" s="6"/>
      <c r="P26" s="9"/>
      <c r="Q26" s="54"/>
      <c r="R26" s="11"/>
      <c r="S26" s="45"/>
      <c r="T26" s="45"/>
      <c r="U26" s="45"/>
      <c r="V26" s="58"/>
    </row>
    <row r="27" spans="2:22" x14ac:dyDescent="0.45">
      <c r="B27" s="38" t="s">
        <v>148</v>
      </c>
      <c r="C27" s="39">
        <v>5</v>
      </c>
      <c r="D27" s="39" t="s">
        <v>166</v>
      </c>
      <c r="E27" s="310"/>
      <c r="F27" s="3"/>
      <c r="G27" s="4"/>
      <c r="H27" s="2"/>
      <c r="I27" s="96"/>
      <c r="J27" s="5"/>
      <c r="K27" s="7"/>
      <c r="L27" s="98"/>
      <c r="M27" s="10"/>
      <c r="N27" s="8"/>
      <c r="O27" s="6"/>
      <c r="P27" s="9"/>
      <c r="Q27" s="54"/>
      <c r="R27" s="11"/>
      <c r="S27" s="45"/>
      <c r="T27" s="45"/>
      <c r="U27" s="45"/>
      <c r="V27" s="58"/>
    </row>
    <row r="28" spans="2:22" x14ac:dyDescent="0.45">
      <c r="B28" s="38" t="s">
        <v>149</v>
      </c>
      <c r="C28" s="39">
        <v>3</v>
      </c>
      <c r="D28" s="39" t="s">
        <v>167</v>
      </c>
      <c r="E28" s="310"/>
      <c r="F28" s="3"/>
      <c r="G28" s="4"/>
      <c r="H28" s="2"/>
      <c r="I28" s="96"/>
      <c r="J28" s="5"/>
      <c r="K28" s="7"/>
      <c r="L28" s="98"/>
      <c r="M28" s="10"/>
      <c r="N28" s="8"/>
      <c r="O28" s="6"/>
      <c r="P28" s="9"/>
      <c r="Q28" s="54"/>
      <c r="R28" s="11"/>
      <c r="S28" s="45"/>
      <c r="T28" s="45"/>
      <c r="U28" s="45"/>
      <c r="V28" s="58"/>
    </row>
    <row r="29" spans="2:22" ht="14.65" thickBot="1" x14ac:dyDescent="0.5">
      <c r="B29" s="41" t="s">
        <v>150</v>
      </c>
      <c r="C29" s="42">
        <v>3</v>
      </c>
      <c r="D29" s="42" t="s">
        <v>168</v>
      </c>
      <c r="E29" s="311"/>
      <c r="F29" s="12"/>
      <c r="G29" s="13"/>
      <c r="H29" s="14"/>
      <c r="I29" s="97"/>
      <c r="J29" s="15"/>
      <c r="K29" s="17"/>
      <c r="L29" s="104"/>
      <c r="M29" s="19"/>
      <c r="N29" s="18"/>
      <c r="O29" s="16"/>
      <c r="P29" s="61"/>
      <c r="Q29" s="51"/>
      <c r="R29" s="20"/>
      <c r="S29" s="46"/>
      <c r="T29" s="46"/>
      <c r="U29" s="46"/>
      <c r="V29" s="59"/>
    </row>
    <row r="30" spans="2:22" x14ac:dyDescent="0.45">
      <c r="F30" s="57">
        <f t="shared" ref="F30:V30" si="1">SUM(F22:F29)</f>
        <v>0</v>
      </c>
      <c r="G30" s="57">
        <f t="shared" si="1"/>
        <v>0</v>
      </c>
      <c r="H30" s="57">
        <f t="shared" si="1"/>
        <v>0</v>
      </c>
      <c r="I30" s="57">
        <f t="shared" si="1"/>
        <v>0</v>
      </c>
      <c r="J30" s="57">
        <f t="shared" si="1"/>
        <v>0</v>
      </c>
      <c r="K30" s="57">
        <f>SUM(K22:K29)</f>
        <v>0</v>
      </c>
      <c r="L30" s="57">
        <f t="shared" si="1"/>
        <v>0</v>
      </c>
      <c r="M30" s="57">
        <f t="shared" si="1"/>
        <v>0</v>
      </c>
      <c r="N30" s="57">
        <f t="shared" si="1"/>
        <v>0</v>
      </c>
      <c r="O30" s="57">
        <f t="shared" si="1"/>
        <v>0</v>
      </c>
      <c r="P30" s="57">
        <f t="shared" si="1"/>
        <v>0</v>
      </c>
      <c r="Q30" s="57">
        <f t="shared" si="1"/>
        <v>0</v>
      </c>
      <c r="R30" s="57">
        <f t="shared" si="1"/>
        <v>0</v>
      </c>
      <c r="S30" s="57">
        <f t="shared" si="1"/>
        <v>0</v>
      </c>
      <c r="T30" s="57">
        <f t="shared" si="1"/>
        <v>0</v>
      </c>
      <c r="U30" s="57">
        <f t="shared" si="1"/>
        <v>0</v>
      </c>
      <c r="V30" s="57">
        <f t="shared" si="1"/>
        <v>0</v>
      </c>
    </row>
  </sheetData>
  <sheetProtection algorithmName="SHA-512" hashValue="DyUthj17aV10PdSNZb+KQcI3fEXjZcMKPywXLnc+KD/S68axTWsr9BiBj39yeSJvy5t6P3mLovwauOm1U/IqTQ==" saltValue="SVIYD7QX/ihBuXugR1h0mw==" spinCount="100000" sheet="1" objects="1" scenarios="1" selectLockedCells="1"/>
  <mergeCells count="3">
    <mergeCell ref="B2:E3"/>
    <mergeCell ref="C7:D7"/>
    <mergeCell ref="C20:D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04B43-0AF5-49E5-97D5-5E9A5BDD92D9}">
  <sheetPr>
    <tabColor rgb="FFFF66FF"/>
  </sheetPr>
  <dimension ref="B2:V34"/>
  <sheetViews>
    <sheetView zoomScale="84" zoomScaleNormal="84" workbookViewId="0">
      <selection activeCell="D28" sqref="D28"/>
    </sheetView>
  </sheetViews>
  <sheetFormatPr defaultRowHeight="14.25" x14ac:dyDescent="0.45"/>
  <cols>
    <col min="2" max="2" width="27.265625" customWidth="1"/>
    <col min="12" max="12" width="9.06640625" style="70"/>
    <col min="20" max="20" width="11.59765625" customWidth="1"/>
  </cols>
  <sheetData>
    <row r="2" spans="2:22" s="70" customFormat="1" ht="14.65" thickBot="1" x14ac:dyDescent="0.5"/>
    <row r="3" spans="2:22" s="70" customFormat="1" ht="14.65" thickBot="1" x14ac:dyDescent="0.5">
      <c r="B3" s="390" t="s">
        <v>219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2"/>
    </row>
    <row r="4" spans="2:22" s="70" customFormat="1" ht="18" x14ac:dyDescent="0.55000000000000004">
      <c r="B4" s="393" t="s">
        <v>220</v>
      </c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</row>
    <row r="5" spans="2:22" s="70" customFormat="1" ht="18" x14ac:dyDescent="0.55000000000000004">
      <c r="B5" s="394" t="s">
        <v>221</v>
      </c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</row>
    <row r="6" spans="2:22" ht="14.65" thickBot="1" x14ac:dyDescent="0.5">
      <c r="C6" s="71"/>
      <c r="D6" s="92"/>
      <c r="E6" s="92"/>
      <c r="F6" s="92"/>
      <c r="G6" s="93"/>
      <c r="H6" s="92"/>
      <c r="I6" s="92"/>
      <c r="J6" s="92"/>
      <c r="K6" s="92"/>
      <c r="L6" s="92"/>
      <c r="M6" s="92"/>
      <c r="N6" s="92"/>
      <c r="O6" s="92"/>
      <c r="P6" s="92"/>
      <c r="Q6" s="99"/>
      <c r="R6" s="69"/>
      <c r="S6" s="69"/>
      <c r="T6" s="69"/>
    </row>
    <row r="7" spans="2:22" ht="18.399999999999999" thickBot="1" x14ac:dyDescent="0.6">
      <c r="B7" s="377" t="s">
        <v>0</v>
      </c>
      <c r="D7" s="279">
        <f>ECLIPSE!G16</f>
        <v>0</v>
      </c>
      <c r="E7" s="280">
        <f>ECLIPSE!H16</f>
        <v>0</v>
      </c>
      <c r="F7" s="281">
        <f>ECLIPSE!I16</f>
        <v>0</v>
      </c>
      <c r="G7" s="282">
        <f>ECLIPSE!J16</f>
        <v>0</v>
      </c>
      <c r="H7" s="283">
        <f>ECLIPSE!K16</f>
        <v>0</v>
      </c>
      <c r="I7" s="284">
        <f>ECLIPSE!L16</f>
        <v>0</v>
      </c>
      <c r="J7" s="285">
        <f>ECLIPSE!M16</f>
        <v>0</v>
      </c>
      <c r="K7" s="286">
        <f>ECLIPSE!N16</f>
        <v>0</v>
      </c>
      <c r="L7" s="287">
        <f>ECLIPSE!O16</f>
        <v>0</v>
      </c>
      <c r="M7" s="288">
        <f>ECLIPSE!P16</f>
        <v>0</v>
      </c>
      <c r="N7" s="289">
        <f>ECLIPSE!Q16</f>
        <v>0</v>
      </c>
      <c r="O7" s="290">
        <f>ECLIPSE!R16</f>
        <v>0</v>
      </c>
      <c r="P7" s="291">
        <f>ECLIPSE!S16</f>
        <v>0</v>
      </c>
      <c r="Q7" s="292">
        <f>ECLIPSE!T16</f>
        <v>0</v>
      </c>
      <c r="R7" s="292">
        <f>ECLIPSE!U16</f>
        <v>0</v>
      </c>
      <c r="S7" s="292">
        <f>ECLIPSE!V16</f>
        <v>0</v>
      </c>
      <c r="T7" s="293">
        <f>ECLIPSE!W16</f>
        <v>0</v>
      </c>
    </row>
    <row r="8" spans="2:22" ht="14.65" thickBot="1" x14ac:dyDescent="0.5">
      <c r="C8" s="73"/>
      <c r="D8" s="144"/>
      <c r="E8" s="144"/>
      <c r="F8" s="144"/>
      <c r="G8" s="29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295"/>
      <c r="S8" s="295"/>
      <c r="T8" s="296"/>
    </row>
    <row r="9" spans="2:22" ht="18.399999999999999" thickBot="1" x14ac:dyDescent="0.6">
      <c r="B9" s="377" t="s">
        <v>18</v>
      </c>
      <c r="D9" s="279">
        <f>ECLIPSE!G31</f>
        <v>0</v>
      </c>
      <c r="E9" s="280">
        <f>ECLIPSE!H31</f>
        <v>0</v>
      </c>
      <c r="F9" s="281">
        <f>ECLIPSE!I31</f>
        <v>0</v>
      </c>
      <c r="G9" s="282">
        <f>ECLIPSE!J31</f>
        <v>0</v>
      </c>
      <c r="H9" s="283">
        <f>ECLIPSE!K31</f>
        <v>0</v>
      </c>
      <c r="I9" s="284">
        <f>ECLIPSE!L31</f>
        <v>0</v>
      </c>
      <c r="J9" s="285">
        <f>ECLIPSE!M31</f>
        <v>0</v>
      </c>
      <c r="K9" s="286">
        <f>ECLIPSE!N31</f>
        <v>0</v>
      </c>
      <c r="L9" s="287">
        <f>ECLIPSE!O31</f>
        <v>0</v>
      </c>
      <c r="M9" s="288">
        <f>ECLIPSE!P31</f>
        <v>0</v>
      </c>
      <c r="N9" s="289">
        <f>ECLIPSE!Q31</f>
        <v>0</v>
      </c>
      <c r="O9" s="290">
        <f>ECLIPSE!R31</f>
        <v>0</v>
      </c>
      <c r="P9" s="291">
        <f>ECLIPSE!S31</f>
        <v>0</v>
      </c>
      <c r="Q9" s="292">
        <f>ECLIPSE!T31</f>
        <v>0</v>
      </c>
      <c r="R9" s="292">
        <f>ECLIPSE!U31</f>
        <v>0</v>
      </c>
      <c r="S9" s="292">
        <f>ECLIPSE!V31</f>
        <v>0</v>
      </c>
      <c r="T9" s="293">
        <f>ECLIPSE!W31</f>
        <v>0</v>
      </c>
    </row>
    <row r="10" spans="2:22" ht="14.65" thickBot="1" x14ac:dyDescent="0.5">
      <c r="C10" s="73"/>
      <c r="D10" s="144"/>
      <c r="E10" s="144"/>
      <c r="F10" s="144"/>
      <c r="G10" s="29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295"/>
      <c r="S10" s="295"/>
      <c r="T10" s="296"/>
    </row>
    <row r="11" spans="2:22" ht="18.399999999999999" thickBot="1" x14ac:dyDescent="0.6">
      <c r="B11" s="378" t="s">
        <v>39</v>
      </c>
      <c r="D11" s="279">
        <f>DRIFTS!G28</f>
        <v>0</v>
      </c>
      <c r="E11" s="280">
        <f>DRIFTS!H28</f>
        <v>0</v>
      </c>
      <c r="F11" s="281">
        <f>DRIFTS!I28</f>
        <v>0</v>
      </c>
      <c r="G11" s="282">
        <f>DRIFTS!J28</f>
        <v>0</v>
      </c>
      <c r="H11" s="283">
        <f>DRIFTS!K28</f>
        <v>0</v>
      </c>
      <c r="I11" s="284">
        <f>DRIFTS!L28</f>
        <v>0</v>
      </c>
      <c r="J11" s="285">
        <f>DRIFTS!M28</f>
        <v>0</v>
      </c>
      <c r="K11" s="286">
        <f>DRIFTS!N28</f>
        <v>0</v>
      </c>
      <c r="L11" s="287">
        <f>DRIFTS!O28</f>
        <v>0</v>
      </c>
      <c r="M11" s="288">
        <f>DRIFTS!P28</f>
        <v>0</v>
      </c>
      <c r="N11" s="289">
        <f>DRIFTS!Q28</f>
        <v>0</v>
      </c>
      <c r="O11" s="290">
        <f>DRIFTS!R28</f>
        <v>0</v>
      </c>
      <c r="P11" s="291">
        <f>DRIFTS!S28</f>
        <v>0</v>
      </c>
      <c r="Q11" s="292">
        <f>DRIFTS!T28</f>
        <v>0</v>
      </c>
      <c r="R11" s="292">
        <f>DRIFTS!U28</f>
        <v>0</v>
      </c>
      <c r="S11" s="292">
        <f>DRIFTS!V28</f>
        <v>0</v>
      </c>
      <c r="T11" s="293">
        <f>DRIFTS!W28</f>
        <v>0</v>
      </c>
    </row>
    <row r="12" spans="2:22" ht="14.65" thickBot="1" x14ac:dyDescent="0.5">
      <c r="C12" s="73"/>
      <c r="D12" s="144"/>
      <c r="E12" s="144"/>
      <c r="F12" s="144"/>
      <c r="G12" s="29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295"/>
      <c r="S12" s="295"/>
      <c r="T12" s="296"/>
    </row>
    <row r="13" spans="2:22" ht="18.399999999999999" thickBot="1" x14ac:dyDescent="0.6">
      <c r="B13" s="379" t="s">
        <v>96</v>
      </c>
      <c r="D13" s="279">
        <f>LOAVES!G19</f>
        <v>0</v>
      </c>
      <c r="E13" s="280">
        <f>LOAVES!H19</f>
        <v>0</v>
      </c>
      <c r="F13" s="281">
        <f>LOAVES!I19</f>
        <v>0</v>
      </c>
      <c r="G13" s="282">
        <f>LOAVES!J19</f>
        <v>0</v>
      </c>
      <c r="H13" s="283">
        <f>LOAVES!K19</f>
        <v>0</v>
      </c>
      <c r="I13" s="284">
        <f>LOAVES!L19</f>
        <v>0</v>
      </c>
      <c r="J13" s="285">
        <f>LOAVES!M19</f>
        <v>0</v>
      </c>
      <c r="K13" s="286">
        <f>LOAVES!N19</f>
        <v>0</v>
      </c>
      <c r="L13" s="287">
        <f>LOAVES!O19</f>
        <v>0</v>
      </c>
      <c r="M13" s="288">
        <f>LOAVES!P19</f>
        <v>0</v>
      </c>
      <c r="N13" s="289">
        <f>LOAVES!Q19</f>
        <v>0</v>
      </c>
      <c r="O13" s="290">
        <f>LOAVES!R19</f>
        <v>0</v>
      </c>
      <c r="P13" s="291">
        <f>LOAVES!S19</f>
        <v>0</v>
      </c>
      <c r="Q13" s="292">
        <f>LOAVES!T19</f>
        <v>0</v>
      </c>
      <c r="R13" s="292">
        <f>LOAVES!U19</f>
        <v>0</v>
      </c>
      <c r="S13" s="292">
        <f>LOAVES!V19</f>
        <v>0</v>
      </c>
      <c r="T13" s="293">
        <f>LOAVES!W19</f>
        <v>0</v>
      </c>
    </row>
    <row r="14" spans="2:22" ht="14.65" thickBot="1" x14ac:dyDescent="0.5">
      <c r="C14" s="73"/>
      <c r="D14" s="144"/>
      <c r="E14" s="144"/>
      <c r="F14" s="144"/>
      <c r="G14" s="29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295"/>
      <c r="S14" s="295"/>
      <c r="T14" s="296"/>
    </row>
    <row r="15" spans="2:22" ht="18.399999999999999" thickBot="1" x14ac:dyDescent="0.6">
      <c r="B15" s="380" t="s">
        <v>123</v>
      </c>
      <c r="D15" s="279">
        <f>ROUGHLINE!G29</f>
        <v>0</v>
      </c>
      <c r="E15" s="280">
        <f>ROUGHLINE!H29</f>
        <v>0</v>
      </c>
      <c r="F15" s="281">
        <f>ROUGHLINE!I29</f>
        <v>0</v>
      </c>
      <c r="G15" s="282">
        <f>ROUGHLINE!J29</f>
        <v>0</v>
      </c>
      <c r="H15" s="283">
        <f>ROUGHLINE!K29</f>
        <v>0</v>
      </c>
      <c r="I15" s="284">
        <f>ROUGHLINE!L29</f>
        <v>0</v>
      </c>
      <c r="J15" s="285">
        <f>ROUGHLINE!M29</f>
        <v>0</v>
      </c>
      <c r="K15" s="286">
        <f>ROUGHLINE!N29</f>
        <v>0</v>
      </c>
      <c r="L15" s="287">
        <f>ROUGHLINE!O29</f>
        <v>0</v>
      </c>
      <c r="M15" s="288">
        <f>ROUGHLINE!P29</f>
        <v>0</v>
      </c>
      <c r="N15" s="289">
        <f>ROUGHLINE!Q29</f>
        <v>0</v>
      </c>
      <c r="O15" s="290">
        <f>ROUGHLINE!R29</f>
        <v>0</v>
      </c>
      <c r="P15" s="291">
        <f>ROUGHLINE!S29</f>
        <v>0</v>
      </c>
      <c r="Q15" s="292">
        <f>ROUGHLINE!T29</f>
        <v>0</v>
      </c>
      <c r="R15" s="292">
        <f>ROUGHLINE!U29</f>
        <v>0</v>
      </c>
      <c r="S15" s="292">
        <f>ROUGHLINE!V29</f>
        <v>0</v>
      </c>
      <c r="T15" s="293">
        <f>ROUGHLINE!W29</f>
        <v>0</v>
      </c>
    </row>
    <row r="16" spans="2:22" ht="14.65" thickBot="1" x14ac:dyDescent="0.5">
      <c r="C16" s="73"/>
      <c r="D16" s="144"/>
      <c r="E16" s="144"/>
      <c r="F16" s="144"/>
      <c r="G16" s="29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295"/>
      <c r="S16" s="295"/>
      <c r="T16" s="296"/>
    </row>
    <row r="17" spans="2:20" ht="18.399999999999999" thickBot="1" x14ac:dyDescent="0.6">
      <c r="B17" s="381" t="s">
        <v>200</v>
      </c>
      <c r="D17" s="279">
        <f>SMOOTHLINE!F18</f>
        <v>0</v>
      </c>
      <c r="E17" s="280">
        <f>SMOOTHLINE!G18</f>
        <v>0</v>
      </c>
      <c r="F17" s="281">
        <f>SMOOTHLINE!H18</f>
        <v>0</v>
      </c>
      <c r="G17" s="282">
        <f>SMOOTHLINE!I18</f>
        <v>0</v>
      </c>
      <c r="H17" s="283">
        <f>SMOOTHLINE!J18</f>
        <v>0</v>
      </c>
      <c r="I17" s="284">
        <f>SMOOTHLINE!K18</f>
        <v>0</v>
      </c>
      <c r="J17" s="285">
        <f>SMOOTHLINE!L18</f>
        <v>0</v>
      </c>
      <c r="K17" s="286">
        <f>SMOOTHLINE!M18</f>
        <v>0</v>
      </c>
      <c r="L17" s="287">
        <f>SMOOTHLINE!N18</f>
        <v>0</v>
      </c>
      <c r="M17" s="288">
        <f>SMOOTHLINE!O18</f>
        <v>0</v>
      </c>
      <c r="N17" s="289">
        <f>SMOOTHLINE!P18</f>
        <v>0</v>
      </c>
      <c r="O17" s="290">
        <f>SMOOTHLINE!Q18</f>
        <v>0</v>
      </c>
      <c r="P17" s="291">
        <f>SMOOTHLINE!R18</f>
        <v>0</v>
      </c>
      <c r="Q17" s="292">
        <f>SMOOTHLINE!S18</f>
        <v>0</v>
      </c>
      <c r="R17" s="292">
        <f>SMOOTHLINE!T18</f>
        <v>0</v>
      </c>
      <c r="S17" s="292">
        <f>SMOOTHLINE!U18</f>
        <v>0</v>
      </c>
      <c r="T17" s="293">
        <f>SMOOTHLINE!V18</f>
        <v>0</v>
      </c>
    </row>
    <row r="18" spans="2:20" ht="14.65" thickBot="1" x14ac:dyDescent="0.5">
      <c r="C18" s="73"/>
      <c r="D18" s="144"/>
      <c r="E18" s="144"/>
      <c r="F18" s="144"/>
      <c r="G18" s="29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295"/>
      <c r="S18" s="295"/>
      <c r="T18" s="296"/>
    </row>
    <row r="19" spans="2:20" ht="18.399999999999999" thickBot="1" x14ac:dyDescent="0.6">
      <c r="B19" s="381" t="s">
        <v>201</v>
      </c>
      <c r="D19" s="279">
        <f>SMOOTHLINE!F30</f>
        <v>0</v>
      </c>
      <c r="E19" s="280">
        <f>SMOOTHLINE!G30</f>
        <v>0</v>
      </c>
      <c r="F19" s="281">
        <f>SMOOTHLINE!H30</f>
        <v>0</v>
      </c>
      <c r="G19" s="282">
        <f>SMOOTHLINE!I30</f>
        <v>0</v>
      </c>
      <c r="H19" s="283">
        <f>SMOOTHLINE!J30</f>
        <v>0</v>
      </c>
      <c r="I19" s="284">
        <f>SMOOTHLINE!K30</f>
        <v>0</v>
      </c>
      <c r="J19" s="285">
        <f>SMOOTHLINE!L30</f>
        <v>0</v>
      </c>
      <c r="K19" s="286">
        <f>SMOOTHLINE!M30</f>
        <v>0</v>
      </c>
      <c r="L19" s="287">
        <f>SMOOTHLINE!N30</f>
        <v>0</v>
      </c>
      <c r="M19" s="288">
        <f>SMOOTHLINE!O30</f>
        <v>0</v>
      </c>
      <c r="N19" s="289">
        <f>SMOOTHLINE!P30</f>
        <v>0</v>
      </c>
      <c r="O19" s="290">
        <f>SMOOTHLINE!Q30</f>
        <v>0</v>
      </c>
      <c r="P19" s="291">
        <f>SMOOTHLINE!R30</f>
        <v>0</v>
      </c>
      <c r="Q19" s="292">
        <f>SMOOTHLINE!S30</f>
        <v>0</v>
      </c>
      <c r="R19" s="292">
        <f>SMOOTHLINE!T30</f>
        <v>0</v>
      </c>
      <c r="S19" s="292">
        <f>SMOOTHLINE!U30</f>
        <v>0</v>
      </c>
      <c r="T19" s="293">
        <f>SMOOTHLINE!V30</f>
        <v>0</v>
      </c>
    </row>
    <row r="20" spans="2:20" s="70" customFormat="1" ht="18.399999999999999" thickBot="1" x14ac:dyDescent="0.6">
      <c r="B20" s="364"/>
      <c r="D20" s="363"/>
      <c r="E20" s="363"/>
      <c r="F20" s="363"/>
      <c r="G20" s="294"/>
      <c r="H20" s="363"/>
      <c r="I20" s="363"/>
      <c r="J20" s="363"/>
      <c r="K20" s="363"/>
      <c r="L20" s="363"/>
      <c r="M20" s="363"/>
      <c r="N20" s="363"/>
      <c r="O20" s="363"/>
      <c r="P20" s="363"/>
      <c r="Q20" s="365"/>
      <c r="R20" s="365"/>
      <c r="S20" s="365"/>
      <c r="T20" s="366"/>
    </row>
    <row r="21" spans="2:20" s="70" customFormat="1" ht="18.399999999999999" thickBot="1" x14ac:dyDescent="0.6">
      <c r="B21" s="376" t="s">
        <v>289</v>
      </c>
      <c r="D21" s="279"/>
      <c r="E21" s="280"/>
      <c r="F21" s="281"/>
      <c r="G21" s="282"/>
      <c r="H21" s="283"/>
      <c r="I21" s="284"/>
      <c r="J21" s="285"/>
      <c r="K21" s="286"/>
      <c r="L21" s="287"/>
      <c r="M21" s="288"/>
      <c r="N21" s="289"/>
      <c r="O21" s="290"/>
      <c r="P21" s="367"/>
      <c r="Q21" s="368">
        <f>FIBERGLASS!R37</f>
        <v>0</v>
      </c>
      <c r="R21" s="368">
        <f>FIBERGLASS!S37</f>
        <v>0</v>
      </c>
      <c r="S21" s="368">
        <f>FIBERGLASS!T37</f>
        <v>0</v>
      </c>
      <c r="T21" s="369">
        <f>FIBERGLASS!U37</f>
        <v>0</v>
      </c>
    </row>
    <row r="22" spans="2:20" ht="14.65" thickBot="1" x14ac:dyDescent="0.5">
      <c r="C22" s="73"/>
      <c r="D22" s="144"/>
      <c r="E22" s="144"/>
      <c r="F22" s="144"/>
      <c r="G22" s="29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295"/>
      <c r="S22" s="295"/>
      <c r="T22" s="296"/>
    </row>
    <row r="23" spans="2:20" ht="18.399999999999999" thickBot="1" x14ac:dyDescent="0.6">
      <c r="B23" s="94" t="s">
        <v>199</v>
      </c>
      <c r="D23" s="279">
        <f t="shared" ref="D23:P23" si="0">SUM(D7:D19)</f>
        <v>0</v>
      </c>
      <c r="E23" s="280">
        <f t="shared" si="0"/>
        <v>0</v>
      </c>
      <c r="F23" s="281">
        <f t="shared" si="0"/>
        <v>0</v>
      </c>
      <c r="G23" s="282">
        <f t="shared" si="0"/>
        <v>0</v>
      </c>
      <c r="H23" s="283">
        <f t="shared" si="0"/>
        <v>0</v>
      </c>
      <c r="I23" s="297">
        <f t="shared" si="0"/>
        <v>0</v>
      </c>
      <c r="J23" s="285">
        <f t="shared" si="0"/>
        <v>0</v>
      </c>
      <c r="K23" s="286">
        <f t="shared" si="0"/>
        <v>0</v>
      </c>
      <c r="L23" s="287">
        <f t="shared" si="0"/>
        <v>0</v>
      </c>
      <c r="M23" s="288">
        <f t="shared" si="0"/>
        <v>0</v>
      </c>
      <c r="N23" s="289">
        <f t="shared" si="0"/>
        <v>0</v>
      </c>
      <c r="O23" s="290">
        <f t="shared" si="0"/>
        <v>0</v>
      </c>
      <c r="P23" s="298">
        <f t="shared" si="0"/>
        <v>0</v>
      </c>
      <c r="Q23" s="295"/>
      <c r="R23" s="295"/>
      <c r="S23" s="295"/>
      <c r="T23" s="296"/>
    </row>
    <row r="24" spans="2:20" ht="14.65" thickBot="1" x14ac:dyDescent="0.5">
      <c r="G24" s="78"/>
    </row>
    <row r="25" spans="2:20" ht="14.65" thickBot="1" x14ac:dyDescent="0.5">
      <c r="B25" s="406" t="s">
        <v>209</v>
      </c>
      <c r="D25" s="413" t="s">
        <v>210</v>
      </c>
      <c r="E25" s="414"/>
      <c r="F25" s="415"/>
      <c r="G25" s="403"/>
      <c r="H25" s="404"/>
      <c r="I25" s="404"/>
      <c r="J25" s="404"/>
      <c r="K25" s="404"/>
      <c r="L25" s="404"/>
      <c r="M25" s="405"/>
      <c r="O25" s="396" t="s">
        <v>203</v>
      </c>
      <c r="P25" s="396"/>
      <c r="Q25" s="76">
        <f>SUM(Q7:Q21)</f>
        <v>0</v>
      </c>
    </row>
    <row r="26" spans="2:20" ht="14.65" thickBot="1" x14ac:dyDescent="0.5">
      <c r="B26" s="406"/>
      <c r="C26" s="70"/>
      <c r="D26" s="413" t="s">
        <v>211</v>
      </c>
      <c r="E26" s="414"/>
      <c r="F26" s="415"/>
      <c r="G26" s="403"/>
      <c r="H26" s="404"/>
      <c r="I26" s="404"/>
      <c r="J26" s="404"/>
      <c r="K26" s="404"/>
      <c r="L26" s="404"/>
      <c r="M26" s="405"/>
      <c r="N26" s="70"/>
      <c r="O26" s="397" t="s">
        <v>204</v>
      </c>
      <c r="P26" s="398"/>
      <c r="Q26" s="76"/>
      <c r="R26" s="76">
        <f>SUM(R7:R21)</f>
        <v>0</v>
      </c>
    </row>
    <row r="27" spans="2:20" ht="14.65" thickBot="1" x14ac:dyDescent="0.5">
      <c r="B27" s="70"/>
      <c r="C27" s="70"/>
      <c r="D27" s="276"/>
      <c r="E27" s="276"/>
      <c r="F27" s="276"/>
      <c r="G27" s="403"/>
      <c r="H27" s="404"/>
      <c r="I27" s="404"/>
      <c r="J27" s="404"/>
      <c r="K27" s="404"/>
      <c r="L27" s="404"/>
      <c r="M27" s="405"/>
      <c r="N27" s="70"/>
      <c r="O27" s="399" t="s">
        <v>205</v>
      </c>
      <c r="P27" s="400"/>
      <c r="Q27" s="76"/>
      <c r="R27" s="76"/>
      <c r="S27" s="76">
        <f>SUM(S7:S21)</f>
        <v>0</v>
      </c>
    </row>
    <row r="28" spans="2:20" ht="18.399999999999999" thickBot="1" x14ac:dyDescent="0.6">
      <c r="B28" s="70"/>
      <c r="C28" s="70"/>
      <c r="D28" s="276"/>
      <c r="E28" s="276"/>
      <c r="F28" s="276"/>
      <c r="G28" s="403"/>
      <c r="H28" s="404"/>
      <c r="I28" s="404"/>
      <c r="J28" s="404"/>
      <c r="K28" s="404"/>
      <c r="L28" s="404"/>
      <c r="M28" s="405"/>
      <c r="N28" s="70"/>
      <c r="O28" s="105" t="s">
        <v>206</v>
      </c>
      <c r="P28" s="106"/>
      <c r="Q28" s="107"/>
      <c r="R28" s="107"/>
      <c r="S28" s="388">
        <f>SUM(T7:T21)</f>
        <v>0</v>
      </c>
      <c r="T28" s="389"/>
    </row>
    <row r="29" spans="2:20" ht="18.399999999999999" thickBot="1" x14ac:dyDescent="0.6">
      <c r="B29" s="70"/>
      <c r="C29" s="70"/>
      <c r="D29" s="276"/>
      <c r="E29" s="276"/>
      <c r="F29" s="276"/>
      <c r="G29" s="403"/>
      <c r="H29" s="404"/>
      <c r="I29" s="404"/>
      <c r="J29" s="404"/>
      <c r="K29" s="404"/>
      <c r="L29" s="404"/>
      <c r="M29" s="405"/>
      <c r="N29" s="70"/>
      <c r="O29" s="108"/>
      <c r="P29" s="401" t="s">
        <v>207</v>
      </c>
      <c r="Q29" s="401"/>
      <c r="R29" s="107"/>
      <c r="S29" s="388">
        <f>S28*0.1</f>
        <v>0</v>
      </c>
      <c r="T29" s="389"/>
    </row>
    <row r="30" spans="2:20" ht="14.65" thickBot="1" x14ac:dyDescent="0.5">
      <c r="B30" s="70"/>
      <c r="C30" s="70"/>
      <c r="D30" s="413" t="s">
        <v>212</v>
      </c>
      <c r="E30" s="414"/>
      <c r="F30" s="415"/>
      <c r="G30" s="403"/>
      <c r="H30" s="404"/>
      <c r="I30" s="404"/>
      <c r="J30" s="404"/>
      <c r="K30" s="404"/>
      <c r="L30" s="404"/>
      <c r="M30" s="405"/>
      <c r="N30" s="70"/>
      <c r="O30" s="77"/>
      <c r="P30" s="77"/>
      <c r="Q30" s="77"/>
      <c r="R30" s="70"/>
    </row>
    <row r="31" spans="2:20" ht="18.399999999999999" thickBot="1" x14ac:dyDescent="0.6">
      <c r="B31" s="70"/>
      <c r="C31" s="70"/>
      <c r="D31" s="413" t="s">
        <v>213</v>
      </c>
      <c r="E31" s="414"/>
      <c r="F31" s="415"/>
      <c r="G31" s="410"/>
      <c r="H31" s="411"/>
      <c r="I31" s="411"/>
      <c r="J31" s="411"/>
      <c r="K31" s="411"/>
      <c r="L31" s="411"/>
      <c r="M31" s="412"/>
      <c r="N31" s="70"/>
      <c r="O31" s="402" t="s">
        <v>208</v>
      </c>
      <c r="P31" s="401"/>
      <c r="Q31" s="401"/>
      <c r="R31" s="107"/>
      <c r="S31" s="388">
        <f>S28+S29</f>
        <v>0</v>
      </c>
      <c r="T31" s="389"/>
    </row>
    <row r="32" spans="2:20" ht="14.65" thickBot="1" x14ac:dyDescent="0.5">
      <c r="D32" s="413" t="s">
        <v>214</v>
      </c>
      <c r="E32" s="414"/>
      <c r="F32" s="415"/>
      <c r="G32" s="403"/>
      <c r="H32" s="404"/>
      <c r="I32" s="404"/>
      <c r="J32" s="404"/>
      <c r="K32" s="404"/>
      <c r="L32" s="404"/>
      <c r="M32" s="405"/>
    </row>
    <row r="33" spans="4:13" ht="14.65" thickBot="1" x14ac:dyDescent="0.5">
      <c r="D33" s="413" t="s">
        <v>215</v>
      </c>
      <c r="E33" s="414"/>
      <c r="F33" s="415"/>
      <c r="G33" s="416"/>
      <c r="H33" s="417"/>
      <c r="I33" s="417"/>
      <c r="J33" s="417"/>
      <c r="K33" s="417"/>
      <c r="L33" s="417"/>
      <c r="M33" s="418"/>
    </row>
    <row r="34" spans="4:13" ht="14.65" thickBot="1" x14ac:dyDescent="0.5">
      <c r="D34" s="407" t="s">
        <v>216</v>
      </c>
      <c r="E34" s="408"/>
      <c r="F34" s="409"/>
      <c r="G34" s="407"/>
      <c r="H34" s="408"/>
      <c r="I34" s="408"/>
      <c r="J34" s="408"/>
      <c r="K34" s="408"/>
      <c r="L34" s="408"/>
      <c r="M34" s="409"/>
    </row>
  </sheetData>
  <sheetProtection algorithmName="SHA-512" hashValue="MaFuDIuvVkBPL+B3yA+19IDVQsBzNbjlmPUp44UTHQCx4mHa/Ldi8D6oWg8IJZnWqWlTx4i/MIOpNJz4z+vuEg==" saltValue="g/omu8SpUTmYgqWfVSQcFg==" spinCount="100000" sheet="1" objects="1" scenarios="1" selectLockedCells="1"/>
  <mergeCells count="29">
    <mergeCell ref="D25:F25"/>
    <mergeCell ref="D26:F26"/>
    <mergeCell ref="D30:F30"/>
    <mergeCell ref="D31:F31"/>
    <mergeCell ref="D34:F34"/>
    <mergeCell ref="G34:M34"/>
    <mergeCell ref="G29:M29"/>
    <mergeCell ref="G30:M30"/>
    <mergeCell ref="G31:M31"/>
    <mergeCell ref="D32:F32"/>
    <mergeCell ref="D33:F33"/>
    <mergeCell ref="G32:M32"/>
    <mergeCell ref="G33:M33"/>
    <mergeCell ref="S28:T28"/>
    <mergeCell ref="S29:T29"/>
    <mergeCell ref="S31:T31"/>
    <mergeCell ref="B3:V3"/>
    <mergeCell ref="B4:V4"/>
    <mergeCell ref="B5:V5"/>
    <mergeCell ref="O25:P25"/>
    <mergeCell ref="O26:P26"/>
    <mergeCell ref="O27:P27"/>
    <mergeCell ref="P29:Q29"/>
    <mergeCell ref="O31:Q31"/>
    <mergeCell ref="G25:M25"/>
    <mergeCell ref="G26:M26"/>
    <mergeCell ref="G27:M27"/>
    <mergeCell ref="G28:M28"/>
    <mergeCell ref="B25:B2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FA547-ACAC-40E3-B623-C426FC393E48}">
  <sheetPr>
    <tabColor rgb="FFFF0000"/>
  </sheetPr>
  <dimension ref="B1:W31"/>
  <sheetViews>
    <sheetView topLeftCell="A11" zoomScale="77" zoomScaleNormal="77" workbookViewId="0">
      <selection activeCell="G5" sqref="G5"/>
    </sheetView>
  </sheetViews>
  <sheetFormatPr defaultRowHeight="14.25" x14ac:dyDescent="0.45"/>
  <cols>
    <col min="2" max="2" width="13.33203125" customWidth="1"/>
    <col min="3" max="3" width="16.73046875" style="70" customWidth="1"/>
    <col min="23" max="23" width="11.796875" customWidth="1"/>
  </cols>
  <sheetData>
    <row r="1" spans="2:23" x14ac:dyDescent="0.45"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2:23" ht="36.4" thickBot="1" x14ac:dyDescent="1.1000000000000001">
      <c r="B2" s="419" t="s">
        <v>0</v>
      </c>
      <c r="C2" s="419"/>
      <c r="D2" s="419"/>
      <c r="E2" s="35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35"/>
      <c r="S2" s="35"/>
      <c r="T2" s="35"/>
      <c r="U2" s="35"/>
      <c r="V2" s="35"/>
      <c r="W2" s="35"/>
    </row>
    <row r="3" spans="2:23" ht="14.65" thickBot="1" x14ac:dyDescent="0.5">
      <c r="B3" s="273" t="s">
        <v>11</v>
      </c>
      <c r="C3" s="274" t="s">
        <v>218</v>
      </c>
      <c r="D3" s="275" t="s">
        <v>12</v>
      </c>
      <c r="E3" s="275" t="s">
        <v>13</v>
      </c>
      <c r="F3" s="275" t="s">
        <v>14</v>
      </c>
      <c r="G3" s="127">
        <v>2</v>
      </c>
      <c r="H3" s="128">
        <v>5</v>
      </c>
      <c r="I3" s="129">
        <v>7</v>
      </c>
      <c r="J3" s="130">
        <v>10</v>
      </c>
      <c r="K3" s="131">
        <v>11</v>
      </c>
      <c r="L3" s="132">
        <v>12</v>
      </c>
      <c r="M3" s="133">
        <v>13</v>
      </c>
      <c r="N3" s="134">
        <v>16</v>
      </c>
      <c r="O3" s="135">
        <v>69</v>
      </c>
      <c r="P3" s="136">
        <v>76</v>
      </c>
      <c r="Q3" s="137">
        <v>77</v>
      </c>
      <c r="R3" s="138">
        <v>79</v>
      </c>
      <c r="S3" s="139">
        <v>81</v>
      </c>
      <c r="T3" s="140" t="s">
        <v>60</v>
      </c>
      <c r="U3" s="140" t="s">
        <v>61</v>
      </c>
      <c r="V3" s="141" t="s">
        <v>59</v>
      </c>
      <c r="W3" s="142" t="s">
        <v>15</v>
      </c>
    </row>
    <row r="4" spans="2:23" ht="14.65" thickBot="1" x14ac:dyDescent="0.5">
      <c r="B4" s="277"/>
      <c r="C4" s="277"/>
      <c r="D4" s="277"/>
      <c r="E4" s="277"/>
      <c r="F4" s="277"/>
      <c r="G4" s="1"/>
      <c r="H4" s="1"/>
      <c r="I4" s="1"/>
      <c r="J4" s="124"/>
      <c r="K4" s="1"/>
      <c r="L4" s="1"/>
      <c r="M4" s="1"/>
      <c r="N4" s="1"/>
      <c r="O4" s="1"/>
      <c r="P4" s="1"/>
      <c r="Q4" s="1"/>
      <c r="R4" s="1"/>
      <c r="S4" s="123"/>
      <c r="T4" s="123"/>
      <c r="U4" s="123"/>
      <c r="V4" s="123"/>
      <c r="W4" s="123"/>
    </row>
    <row r="5" spans="2:23" ht="100.05" customHeight="1" x14ac:dyDescent="0.45">
      <c r="B5" s="153" t="s">
        <v>1</v>
      </c>
      <c r="C5" s="150"/>
      <c r="D5" s="157">
        <v>6</v>
      </c>
      <c r="E5" s="157" t="s">
        <v>6</v>
      </c>
      <c r="F5" s="158">
        <v>116.25</v>
      </c>
      <c r="G5" s="203"/>
      <c r="H5" s="204"/>
      <c r="I5" s="205"/>
      <c r="J5" s="206"/>
      <c r="K5" s="207"/>
      <c r="L5" s="208"/>
      <c r="M5" s="209"/>
      <c r="N5" s="210"/>
      <c r="O5" s="211"/>
      <c r="P5" s="212"/>
      <c r="Q5" s="213"/>
      <c r="R5" s="214"/>
      <c r="S5" s="215"/>
      <c r="T5" s="165">
        <f>SUM(G5:S5)</f>
        <v>0</v>
      </c>
      <c r="U5" s="165">
        <f t="shared" ref="U5:U15" si="0">(G5+H5+I5+J5+K5+L5+M5+N5+O5+P5+Q5+R5+S5)*D5</f>
        <v>0</v>
      </c>
      <c r="V5" s="176">
        <f>T5*2.1</f>
        <v>0</v>
      </c>
      <c r="W5" s="166">
        <f t="shared" ref="W5:W15" si="1">T5*F5</f>
        <v>0</v>
      </c>
    </row>
    <row r="6" spans="2:23" ht="100.05" customHeight="1" x14ac:dyDescent="0.45">
      <c r="B6" s="173" t="s">
        <v>135</v>
      </c>
      <c r="C6" s="146"/>
      <c r="D6" s="177">
        <v>6</v>
      </c>
      <c r="E6" s="177" t="s">
        <v>89</v>
      </c>
      <c r="F6" s="178">
        <v>105</v>
      </c>
      <c r="G6" s="216"/>
      <c r="H6" s="217"/>
      <c r="I6" s="218"/>
      <c r="J6" s="219"/>
      <c r="K6" s="220"/>
      <c r="L6" s="221"/>
      <c r="M6" s="222"/>
      <c r="N6" s="223"/>
      <c r="O6" s="224"/>
      <c r="P6" s="225"/>
      <c r="Q6" s="226"/>
      <c r="R6" s="227"/>
      <c r="S6" s="228"/>
      <c r="T6" s="179">
        <f>SUM(G6:S6)</f>
        <v>0</v>
      </c>
      <c r="U6" s="179">
        <v>0</v>
      </c>
      <c r="V6" s="180">
        <f>T6*1.6</f>
        <v>0</v>
      </c>
      <c r="W6" s="181">
        <f>F6*T6</f>
        <v>0</v>
      </c>
    </row>
    <row r="7" spans="2:23" ht="100.05" customHeight="1" x14ac:dyDescent="0.45">
      <c r="B7" s="154" t="s">
        <v>2</v>
      </c>
      <c r="C7" s="151"/>
      <c r="D7" s="159">
        <v>6</v>
      </c>
      <c r="E7" s="159" t="s">
        <v>7</v>
      </c>
      <c r="F7" s="160">
        <v>195</v>
      </c>
      <c r="G7" s="216"/>
      <c r="H7" s="217"/>
      <c r="I7" s="218"/>
      <c r="J7" s="219"/>
      <c r="K7" s="220"/>
      <c r="L7" s="221"/>
      <c r="M7" s="222"/>
      <c r="N7" s="223"/>
      <c r="O7" s="224"/>
      <c r="P7" s="225"/>
      <c r="Q7" s="226"/>
      <c r="R7" s="227"/>
      <c r="S7" s="228"/>
      <c r="T7" s="167">
        <f t="shared" ref="T7:T15" si="2">G7+H7+I7+J7+K7+L7+M7+N7+O7+P7+Q7+R7+S7</f>
        <v>0</v>
      </c>
      <c r="U7" s="167">
        <f t="shared" si="0"/>
        <v>0</v>
      </c>
      <c r="V7" s="182">
        <f>T7*2.2</f>
        <v>0</v>
      </c>
      <c r="W7" s="168">
        <f t="shared" si="1"/>
        <v>0</v>
      </c>
    </row>
    <row r="8" spans="2:23" ht="100.05" customHeight="1" x14ac:dyDescent="0.45">
      <c r="B8" s="154" t="s">
        <v>3</v>
      </c>
      <c r="C8" s="151"/>
      <c r="D8" s="159">
        <v>6</v>
      </c>
      <c r="E8" s="159" t="s">
        <v>8</v>
      </c>
      <c r="F8" s="160">
        <v>297.5</v>
      </c>
      <c r="G8" s="216"/>
      <c r="H8" s="217"/>
      <c r="I8" s="218"/>
      <c r="J8" s="219"/>
      <c r="K8" s="220"/>
      <c r="L8" s="221"/>
      <c r="M8" s="222"/>
      <c r="N8" s="223"/>
      <c r="O8" s="224"/>
      <c r="P8" s="225"/>
      <c r="Q8" s="226"/>
      <c r="R8" s="227"/>
      <c r="S8" s="228"/>
      <c r="T8" s="167">
        <f t="shared" si="2"/>
        <v>0</v>
      </c>
      <c r="U8" s="167">
        <f t="shared" si="0"/>
        <v>0</v>
      </c>
      <c r="V8" s="182">
        <f>T8*4</f>
        <v>0</v>
      </c>
      <c r="W8" s="168">
        <f t="shared" si="1"/>
        <v>0</v>
      </c>
    </row>
    <row r="9" spans="2:23" ht="100.05" customHeight="1" x14ac:dyDescent="0.45">
      <c r="B9" s="154" t="s">
        <v>4</v>
      </c>
      <c r="C9" s="151"/>
      <c r="D9" s="159">
        <v>6</v>
      </c>
      <c r="E9" s="159" t="s">
        <v>9</v>
      </c>
      <c r="F9" s="160">
        <v>402.5</v>
      </c>
      <c r="G9" s="216"/>
      <c r="H9" s="217"/>
      <c r="I9" s="218"/>
      <c r="J9" s="219"/>
      <c r="K9" s="220"/>
      <c r="L9" s="221"/>
      <c r="M9" s="222"/>
      <c r="N9" s="223"/>
      <c r="O9" s="224"/>
      <c r="P9" s="225"/>
      <c r="Q9" s="226"/>
      <c r="R9" s="227"/>
      <c r="S9" s="228"/>
      <c r="T9" s="167">
        <f t="shared" si="2"/>
        <v>0</v>
      </c>
      <c r="U9" s="167">
        <f t="shared" si="0"/>
        <v>0</v>
      </c>
      <c r="V9" s="182">
        <f>T9*5.85</f>
        <v>0</v>
      </c>
      <c r="W9" s="168">
        <f t="shared" si="1"/>
        <v>0</v>
      </c>
    </row>
    <row r="10" spans="2:23" ht="100.05" customHeight="1" x14ac:dyDescent="0.45">
      <c r="B10" s="154" t="s">
        <v>5</v>
      </c>
      <c r="C10" s="151"/>
      <c r="D10" s="159">
        <v>6</v>
      </c>
      <c r="E10" s="159" t="s">
        <v>10</v>
      </c>
      <c r="F10" s="160">
        <v>558.75</v>
      </c>
      <c r="G10" s="216"/>
      <c r="H10" s="217"/>
      <c r="I10" s="218"/>
      <c r="J10" s="219"/>
      <c r="K10" s="220"/>
      <c r="L10" s="221"/>
      <c r="M10" s="222"/>
      <c r="N10" s="223"/>
      <c r="O10" s="224"/>
      <c r="P10" s="225"/>
      <c r="Q10" s="226"/>
      <c r="R10" s="227"/>
      <c r="S10" s="228"/>
      <c r="T10" s="167">
        <f t="shared" si="2"/>
        <v>0</v>
      </c>
      <c r="U10" s="167">
        <f t="shared" si="0"/>
        <v>0</v>
      </c>
      <c r="V10" s="182">
        <f>T10*10.2</f>
        <v>0</v>
      </c>
      <c r="W10" s="168">
        <f t="shared" si="1"/>
        <v>0</v>
      </c>
    </row>
    <row r="11" spans="2:23" ht="100.05" customHeight="1" x14ac:dyDescent="0.45">
      <c r="B11" s="173" t="s">
        <v>90</v>
      </c>
      <c r="C11" s="146"/>
      <c r="D11" s="177">
        <v>6</v>
      </c>
      <c r="E11" s="177" t="s">
        <v>91</v>
      </c>
      <c r="F11" s="178">
        <v>43.75</v>
      </c>
      <c r="G11" s="216"/>
      <c r="H11" s="217"/>
      <c r="I11" s="218"/>
      <c r="J11" s="219"/>
      <c r="K11" s="220"/>
      <c r="L11" s="221"/>
      <c r="M11" s="222"/>
      <c r="N11" s="223"/>
      <c r="O11" s="224"/>
      <c r="P11" s="225"/>
      <c r="Q11" s="226"/>
      <c r="R11" s="227"/>
      <c r="S11" s="228"/>
      <c r="T11" s="179">
        <f>SUM(G11:S11)</f>
        <v>0</v>
      </c>
      <c r="U11" s="179">
        <f t="shared" si="0"/>
        <v>0</v>
      </c>
      <c r="V11" s="180">
        <f>T11*0.6</f>
        <v>0</v>
      </c>
      <c r="W11" s="181">
        <f t="shared" si="1"/>
        <v>0</v>
      </c>
    </row>
    <row r="12" spans="2:23" ht="100.05" customHeight="1" x14ac:dyDescent="0.45">
      <c r="B12" s="154" t="s">
        <v>68</v>
      </c>
      <c r="C12" s="151"/>
      <c r="D12" s="159">
        <v>6</v>
      </c>
      <c r="E12" s="159" t="s">
        <v>16</v>
      </c>
      <c r="F12" s="160">
        <v>50</v>
      </c>
      <c r="G12" s="216"/>
      <c r="H12" s="217"/>
      <c r="I12" s="218"/>
      <c r="J12" s="219"/>
      <c r="K12" s="220"/>
      <c r="L12" s="221"/>
      <c r="M12" s="222"/>
      <c r="N12" s="223"/>
      <c r="O12" s="224"/>
      <c r="P12" s="225"/>
      <c r="Q12" s="226"/>
      <c r="R12" s="227"/>
      <c r="S12" s="228"/>
      <c r="T12" s="167">
        <f t="shared" si="2"/>
        <v>0</v>
      </c>
      <c r="U12" s="167">
        <f t="shared" si="0"/>
        <v>0</v>
      </c>
      <c r="V12" s="182">
        <f>T12*0.73</f>
        <v>0</v>
      </c>
      <c r="W12" s="168">
        <f t="shared" si="1"/>
        <v>0</v>
      </c>
    </row>
    <row r="13" spans="2:23" ht="100.05" customHeight="1" x14ac:dyDescent="0.45">
      <c r="B13" s="174" t="s">
        <v>92</v>
      </c>
      <c r="C13" s="149"/>
      <c r="D13" s="183">
        <v>6</v>
      </c>
      <c r="E13" s="183" t="s">
        <v>93</v>
      </c>
      <c r="F13" s="184">
        <v>25</v>
      </c>
      <c r="G13" s="229"/>
      <c r="H13" s="230"/>
      <c r="I13" s="231"/>
      <c r="J13" s="232"/>
      <c r="K13" s="233"/>
      <c r="L13" s="234"/>
      <c r="M13" s="235"/>
      <c r="N13" s="236"/>
      <c r="O13" s="237"/>
      <c r="P13" s="238"/>
      <c r="Q13" s="239"/>
      <c r="R13" s="240"/>
      <c r="S13" s="241"/>
      <c r="T13" s="171">
        <f>SUM(G13:S13)</f>
        <v>0</v>
      </c>
      <c r="U13" s="171">
        <f t="shared" si="0"/>
        <v>0</v>
      </c>
      <c r="V13" s="185">
        <f>T13*0.3</f>
        <v>0</v>
      </c>
      <c r="W13" s="172">
        <f>F13*T13</f>
        <v>0</v>
      </c>
    </row>
    <row r="14" spans="2:23" ht="100.05" customHeight="1" x14ac:dyDescent="0.45">
      <c r="B14" s="174" t="s">
        <v>94</v>
      </c>
      <c r="C14" s="149"/>
      <c r="D14" s="183">
        <v>6</v>
      </c>
      <c r="E14" s="183" t="s">
        <v>95</v>
      </c>
      <c r="F14" s="184">
        <v>22.5</v>
      </c>
      <c r="G14" s="229"/>
      <c r="H14" s="230"/>
      <c r="I14" s="231"/>
      <c r="J14" s="232"/>
      <c r="K14" s="233"/>
      <c r="L14" s="234"/>
      <c r="M14" s="235"/>
      <c r="N14" s="236"/>
      <c r="O14" s="237"/>
      <c r="P14" s="238"/>
      <c r="Q14" s="239"/>
      <c r="R14" s="240"/>
      <c r="S14" s="241"/>
      <c r="T14" s="171">
        <f>SUM(G14:S14)</f>
        <v>0</v>
      </c>
      <c r="U14" s="171">
        <f t="shared" si="0"/>
        <v>0</v>
      </c>
      <c r="V14" s="185">
        <f>T14*0.2</f>
        <v>0</v>
      </c>
      <c r="W14" s="172">
        <f>F14*T14</f>
        <v>0</v>
      </c>
    </row>
    <row r="15" spans="2:23" ht="100.05" customHeight="1" thickBot="1" x14ac:dyDescent="0.5">
      <c r="B15" s="175" t="s">
        <v>67</v>
      </c>
      <c r="C15" s="152"/>
      <c r="D15" s="186">
        <v>6</v>
      </c>
      <c r="E15" s="186" t="s">
        <v>17</v>
      </c>
      <c r="F15" s="187">
        <v>61.25</v>
      </c>
      <c r="G15" s="242"/>
      <c r="H15" s="243"/>
      <c r="I15" s="244"/>
      <c r="J15" s="245"/>
      <c r="K15" s="246"/>
      <c r="L15" s="247"/>
      <c r="M15" s="248"/>
      <c r="N15" s="249"/>
      <c r="O15" s="250"/>
      <c r="P15" s="251"/>
      <c r="Q15" s="252"/>
      <c r="R15" s="253"/>
      <c r="S15" s="254"/>
      <c r="T15" s="188">
        <f t="shared" si="2"/>
        <v>0</v>
      </c>
      <c r="U15" s="188">
        <f t="shared" si="0"/>
        <v>0</v>
      </c>
      <c r="V15" s="189">
        <f>T15*0.97</f>
        <v>0</v>
      </c>
      <c r="W15" s="190">
        <f t="shared" si="1"/>
        <v>0</v>
      </c>
    </row>
    <row r="16" spans="2:23" x14ac:dyDescent="0.45">
      <c r="B16" s="40"/>
      <c r="C16" s="40"/>
      <c r="D16" s="40"/>
      <c r="E16" s="40"/>
      <c r="F16" s="40"/>
      <c r="G16" s="56">
        <f t="shared" ref="G16:W16" si="3">SUM(G5:G15)</f>
        <v>0</v>
      </c>
      <c r="H16" s="56">
        <f t="shared" si="3"/>
        <v>0</v>
      </c>
      <c r="I16" s="56">
        <f t="shared" si="3"/>
        <v>0</v>
      </c>
      <c r="J16" s="121">
        <f t="shared" si="3"/>
        <v>0</v>
      </c>
      <c r="K16" s="56">
        <f t="shared" si="3"/>
        <v>0</v>
      </c>
      <c r="L16" s="56">
        <f t="shared" si="3"/>
        <v>0</v>
      </c>
      <c r="M16" s="56">
        <f t="shared" si="3"/>
        <v>0</v>
      </c>
      <c r="N16" s="56">
        <f t="shared" si="3"/>
        <v>0</v>
      </c>
      <c r="O16" s="56">
        <f t="shared" si="3"/>
        <v>0</v>
      </c>
      <c r="P16" s="56">
        <f t="shared" si="3"/>
        <v>0</v>
      </c>
      <c r="Q16" s="56">
        <f t="shared" si="3"/>
        <v>0</v>
      </c>
      <c r="R16" s="56">
        <f t="shared" si="3"/>
        <v>0</v>
      </c>
      <c r="S16" s="56">
        <f t="shared" si="3"/>
        <v>0</v>
      </c>
      <c r="T16" s="57">
        <f t="shared" si="3"/>
        <v>0</v>
      </c>
      <c r="U16" s="57">
        <f t="shared" si="3"/>
        <v>0</v>
      </c>
      <c r="V16" s="57">
        <f t="shared" si="3"/>
        <v>0</v>
      </c>
      <c r="W16" s="122">
        <f t="shared" si="3"/>
        <v>0</v>
      </c>
    </row>
    <row r="17" spans="2:23" x14ac:dyDescent="0.45">
      <c r="B17" s="278"/>
      <c r="C17" s="278"/>
      <c r="D17" s="278"/>
      <c r="E17" s="278"/>
      <c r="F17" s="278"/>
    </row>
    <row r="18" spans="2:23" x14ac:dyDescent="0.45">
      <c r="B18" s="278"/>
      <c r="C18" s="278"/>
      <c r="D18" s="278"/>
      <c r="E18" s="278"/>
      <c r="F18" s="278"/>
    </row>
    <row r="19" spans="2:23" ht="25.5" x14ac:dyDescent="0.75">
      <c r="B19" s="421" t="s">
        <v>18</v>
      </c>
      <c r="C19" s="421"/>
      <c r="D19" s="421"/>
      <c r="E19" s="40"/>
      <c r="F19" s="40"/>
      <c r="G19" s="36"/>
      <c r="H19" s="36"/>
      <c r="I19" s="36"/>
      <c r="J19" s="37"/>
      <c r="K19" s="36"/>
      <c r="L19" s="36"/>
      <c r="M19" s="36"/>
      <c r="N19" s="36"/>
      <c r="O19" s="36"/>
      <c r="P19" s="36"/>
      <c r="Q19" s="36"/>
      <c r="R19" s="36"/>
      <c r="S19" s="36"/>
      <c r="T19" s="40"/>
      <c r="U19" s="40"/>
      <c r="V19" s="40"/>
      <c r="W19" s="40"/>
    </row>
    <row r="20" spans="2:23" ht="14.65" thickBot="1" x14ac:dyDescent="0.5">
      <c r="B20" s="40"/>
      <c r="C20" s="40"/>
      <c r="D20" s="40"/>
      <c r="E20" s="40"/>
      <c r="F20" s="40"/>
      <c r="G20" s="36"/>
      <c r="H20" s="36"/>
      <c r="I20" s="36"/>
      <c r="J20" s="37"/>
      <c r="K20" s="36"/>
      <c r="L20" s="36"/>
      <c r="M20" s="36"/>
      <c r="N20" s="36"/>
      <c r="O20" s="36"/>
      <c r="P20" s="36"/>
      <c r="Q20" s="36"/>
      <c r="R20" s="36"/>
      <c r="S20" s="36"/>
      <c r="T20" s="40"/>
      <c r="U20" s="40"/>
      <c r="V20" s="40"/>
      <c r="W20" s="40"/>
    </row>
    <row r="21" spans="2:23" ht="100.05" customHeight="1" x14ac:dyDescent="0.45">
      <c r="B21" s="153" t="s">
        <v>19</v>
      </c>
      <c r="C21" s="150"/>
      <c r="D21" s="157">
        <v>6</v>
      </c>
      <c r="E21" s="157" t="s">
        <v>29</v>
      </c>
      <c r="F21" s="158">
        <v>42.5</v>
      </c>
      <c r="G21" s="203"/>
      <c r="H21" s="204"/>
      <c r="I21" s="205"/>
      <c r="J21" s="206"/>
      <c r="K21" s="207"/>
      <c r="L21" s="208"/>
      <c r="M21" s="209"/>
      <c r="N21" s="210"/>
      <c r="O21" s="211"/>
      <c r="P21" s="212"/>
      <c r="Q21" s="213"/>
      <c r="R21" s="214"/>
      <c r="S21" s="215"/>
      <c r="T21" s="165">
        <f t="shared" ref="T21:T30" si="4">G21+H21+I21+J21+K21+L21+M21+N21+O21+P21+Q21+R21+S21</f>
        <v>0</v>
      </c>
      <c r="U21" s="165">
        <f t="shared" ref="U21:U30" si="5">T21*D21</f>
        <v>0</v>
      </c>
      <c r="V21" s="165">
        <f>T21*0.55</f>
        <v>0</v>
      </c>
      <c r="W21" s="166">
        <f t="shared" ref="W21:W30" si="6">T21*F21</f>
        <v>0</v>
      </c>
    </row>
    <row r="22" spans="2:23" ht="100.05" customHeight="1" x14ac:dyDescent="0.45">
      <c r="B22" s="154" t="s">
        <v>20</v>
      </c>
      <c r="C22" s="151"/>
      <c r="D22" s="159">
        <v>6</v>
      </c>
      <c r="E22" s="159" t="s">
        <v>30</v>
      </c>
      <c r="F22" s="160">
        <v>33.75</v>
      </c>
      <c r="G22" s="216"/>
      <c r="H22" s="217"/>
      <c r="I22" s="218"/>
      <c r="J22" s="219"/>
      <c r="K22" s="220"/>
      <c r="L22" s="221"/>
      <c r="M22" s="222"/>
      <c r="N22" s="223"/>
      <c r="O22" s="224"/>
      <c r="P22" s="225"/>
      <c r="Q22" s="226"/>
      <c r="R22" s="227"/>
      <c r="S22" s="228"/>
      <c r="T22" s="167">
        <f t="shared" si="4"/>
        <v>0</v>
      </c>
      <c r="U22" s="167">
        <f t="shared" si="5"/>
        <v>0</v>
      </c>
      <c r="V22" s="167">
        <f>T22*0.4</f>
        <v>0</v>
      </c>
      <c r="W22" s="168">
        <f t="shared" si="6"/>
        <v>0</v>
      </c>
    </row>
    <row r="23" spans="2:23" ht="100.05" customHeight="1" x14ac:dyDescent="0.45">
      <c r="B23" s="154" t="s">
        <v>21</v>
      </c>
      <c r="C23" s="151"/>
      <c r="D23" s="159">
        <v>6</v>
      </c>
      <c r="E23" s="159" t="s">
        <v>31</v>
      </c>
      <c r="F23" s="160">
        <v>73.75</v>
      </c>
      <c r="G23" s="216"/>
      <c r="H23" s="217"/>
      <c r="I23" s="218"/>
      <c r="J23" s="219"/>
      <c r="K23" s="220"/>
      <c r="L23" s="221"/>
      <c r="M23" s="222"/>
      <c r="N23" s="223"/>
      <c r="O23" s="224"/>
      <c r="P23" s="225"/>
      <c r="Q23" s="226"/>
      <c r="R23" s="227"/>
      <c r="S23" s="228"/>
      <c r="T23" s="167">
        <f t="shared" si="4"/>
        <v>0</v>
      </c>
      <c r="U23" s="167">
        <f t="shared" si="5"/>
        <v>0</v>
      </c>
      <c r="V23" s="167">
        <f>T23*1.2</f>
        <v>0</v>
      </c>
      <c r="W23" s="168">
        <f t="shared" si="6"/>
        <v>0</v>
      </c>
    </row>
    <row r="24" spans="2:23" ht="100.05" customHeight="1" x14ac:dyDescent="0.45">
      <c r="B24" s="154" t="s">
        <v>22</v>
      </c>
      <c r="C24" s="151"/>
      <c r="D24" s="159">
        <v>6</v>
      </c>
      <c r="E24" s="159" t="s">
        <v>32</v>
      </c>
      <c r="F24" s="160">
        <v>51.25</v>
      </c>
      <c r="G24" s="216"/>
      <c r="H24" s="217"/>
      <c r="I24" s="218"/>
      <c r="J24" s="219"/>
      <c r="K24" s="220"/>
      <c r="L24" s="221"/>
      <c r="M24" s="222"/>
      <c r="N24" s="223"/>
      <c r="O24" s="224"/>
      <c r="P24" s="225"/>
      <c r="Q24" s="226"/>
      <c r="R24" s="227"/>
      <c r="S24" s="228"/>
      <c r="T24" s="167">
        <f t="shared" si="4"/>
        <v>0</v>
      </c>
      <c r="U24" s="167">
        <f t="shared" si="5"/>
        <v>0</v>
      </c>
      <c r="V24" s="167">
        <f>T24*0.77</f>
        <v>0</v>
      </c>
      <c r="W24" s="168">
        <f t="shared" si="6"/>
        <v>0</v>
      </c>
    </row>
    <row r="25" spans="2:23" ht="100.05" customHeight="1" x14ac:dyDescent="0.45">
      <c r="B25" s="154" t="s">
        <v>23</v>
      </c>
      <c r="C25" s="151"/>
      <c r="D25" s="159">
        <v>6</v>
      </c>
      <c r="E25" s="159" t="s">
        <v>33</v>
      </c>
      <c r="F25" s="160">
        <v>127.5</v>
      </c>
      <c r="G25" s="216"/>
      <c r="H25" s="217"/>
      <c r="I25" s="218"/>
      <c r="J25" s="219"/>
      <c r="K25" s="220"/>
      <c r="L25" s="221"/>
      <c r="M25" s="222"/>
      <c r="N25" s="223"/>
      <c r="O25" s="224"/>
      <c r="P25" s="225"/>
      <c r="Q25" s="226"/>
      <c r="R25" s="227"/>
      <c r="S25" s="228"/>
      <c r="T25" s="167">
        <f t="shared" si="4"/>
        <v>0</v>
      </c>
      <c r="U25" s="167">
        <f t="shared" si="5"/>
        <v>0</v>
      </c>
      <c r="V25" s="167">
        <f>T25*2.27</f>
        <v>0</v>
      </c>
      <c r="W25" s="168">
        <f t="shared" si="6"/>
        <v>0</v>
      </c>
    </row>
    <row r="26" spans="2:23" ht="100.05" customHeight="1" x14ac:dyDescent="0.45">
      <c r="B26" s="154" t="s">
        <v>24</v>
      </c>
      <c r="C26" s="151"/>
      <c r="D26" s="159">
        <v>6</v>
      </c>
      <c r="E26" s="159" t="s">
        <v>34</v>
      </c>
      <c r="F26" s="160">
        <v>66.25</v>
      </c>
      <c r="G26" s="216"/>
      <c r="H26" s="217"/>
      <c r="I26" s="218"/>
      <c r="J26" s="219"/>
      <c r="K26" s="220"/>
      <c r="L26" s="221"/>
      <c r="M26" s="222"/>
      <c r="N26" s="223"/>
      <c r="O26" s="224"/>
      <c r="P26" s="225"/>
      <c r="Q26" s="226"/>
      <c r="R26" s="227"/>
      <c r="S26" s="228"/>
      <c r="T26" s="167">
        <f t="shared" si="4"/>
        <v>0</v>
      </c>
      <c r="U26" s="167">
        <f t="shared" si="5"/>
        <v>0</v>
      </c>
      <c r="V26" s="167">
        <f>T26*1.04</f>
        <v>0</v>
      </c>
      <c r="W26" s="168">
        <f t="shared" si="6"/>
        <v>0</v>
      </c>
    </row>
    <row r="27" spans="2:23" ht="100.05" customHeight="1" x14ac:dyDescent="0.45">
      <c r="B27" s="154" t="s">
        <v>25</v>
      </c>
      <c r="C27" s="151"/>
      <c r="D27" s="159">
        <v>6</v>
      </c>
      <c r="E27" s="159" t="s">
        <v>35</v>
      </c>
      <c r="F27" s="160">
        <v>106.25</v>
      </c>
      <c r="G27" s="216"/>
      <c r="H27" s="217"/>
      <c r="I27" s="218"/>
      <c r="J27" s="219"/>
      <c r="K27" s="220"/>
      <c r="L27" s="221"/>
      <c r="M27" s="222"/>
      <c r="N27" s="223"/>
      <c r="O27" s="224"/>
      <c r="P27" s="225"/>
      <c r="Q27" s="226"/>
      <c r="R27" s="227"/>
      <c r="S27" s="228"/>
      <c r="T27" s="167">
        <f t="shared" si="4"/>
        <v>0</v>
      </c>
      <c r="U27" s="167">
        <f t="shared" si="5"/>
        <v>0</v>
      </c>
      <c r="V27" s="167">
        <f>T27*1.84</f>
        <v>0</v>
      </c>
      <c r="W27" s="168">
        <f t="shared" si="6"/>
        <v>0</v>
      </c>
    </row>
    <row r="28" spans="2:23" ht="100.05" customHeight="1" x14ac:dyDescent="0.45">
      <c r="B28" s="155" t="s">
        <v>26</v>
      </c>
      <c r="C28" s="148"/>
      <c r="D28" s="161">
        <v>6</v>
      </c>
      <c r="E28" s="161" t="s">
        <v>36</v>
      </c>
      <c r="F28" s="162"/>
      <c r="G28" s="216"/>
      <c r="H28" s="217"/>
      <c r="I28" s="218"/>
      <c r="J28" s="219"/>
      <c r="K28" s="220"/>
      <c r="L28" s="221"/>
      <c r="M28" s="222"/>
      <c r="N28" s="223"/>
      <c r="O28" s="224"/>
      <c r="P28" s="225"/>
      <c r="Q28" s="226"/>
      <c r="R28" s="227"/>
      <c r="S28" s="228"/>
      <c r="T28" s="169">
        <f t="shared" si="4"/>
        <v>0</v>
      </c>
      <c r="U28" s="169">
        <f t="shared" si="5"/>
        <v>0</v>
      </c>
      <c r="V28" s="169"/>
      <c r="W28" s="170">
        <f t="shared" si="6"/>
        <v>0</v>
      </c>
    </row>
    <row r="29" spans="2:23" ht="100.05" customHeight="1" x14ac:dyDescent="0.45">
      <c r="B29" s="155" t="s">
        <v>27</v>
      </c>
      <c r="C29" s="148"/>
      <c r="D29" s="161">
        <v>6</v>
      </c>
      <c r="E29" s="161" t="s">
        <v>37</v>
      </c>
      <c r="F29" s="162"/>
      <c r="G29" s="216"/>
      <c r="H29" s="217"/>
      <c r="I29" s="218"/>
      <c r="J29" s="219"/>
      <c r="K29" s="220"/>
      <c r="L29" s="221"/>
      <c r="M29" s="222"/>
      <c r="N29" s="223"/>
      <c r="O29" s="224"/>
      <c r="P29" s="225"/>
      <c r="Q29" s="226"/>
      <c r="R29" s="227"/>
      <c r="S29" s="228"/>
      <c r="T29" s="169">
        <f t="shared" si="4"/>
        <v>0</v>
      </c>
      <c r="U29" s="169">
        <f t="shared" si="5"/>
        <v>0</v>
      </c>
      <c r="V29" s="169"/>
      <c r="W29" s="170">
        <f t="shared" si="6"/>
        <v>0</v>
      </c>
    </row>
    <row r="30" spans="2:23" ht="100.05" customHeight="1" thickBot="1" x14ac:dyDescent="0.5">
      <c r="B30" s="156" t="s">
        <v>28</v>
      </c>
      <c r="C30" s="147"/>
      <c r="D30" s="163">
        <v>6</v>
      </c>
      <c r="E30" s="163" t="s">
        <v>38</v>
      </c>
      <c r="F30" s="164">
        <v>262.5</v>
      </c>
      <c r="G30" s="229"/>
      <c r="H30" s="230"/>
      <c r="I30" s="231"/>
      <c r="J30" s="232"/>
      <c r="K30" s="270"/>
      <c r="L30" s="234"/>
      <c r="M30" s="235"/>
      <c r="N30" s="236"/>
      <c r="O30" s="237"/>
      <c r="P30" s="238"/>
      <c r="Q30" s="239"/>
      <c r="R30" s="240"/>
      <c r="S30" s="241"/>
      <c r="T30" s="171">
        <f t="shared" si="4"/>
        <v>0</v>
      </c>
      <c r="U30" s="171">
        <f t="shared" si="5"/>
        <v>0</v>
      </c>
      <c r="V30" s="171">
        <f>T30*3.62</f>
        <v>0</v>
      </c>
      <c r="W30" s="172">
        <f t="shared" si="6"/>
        <v>0</v>
      </c>
    </row>
    <row r="31" spans="2:23" x14ac:dyDescent="0.45">
      <c r="B31" s="40"/>
      <c r="C31" s="40"/>
      <c r="D31" s="40"/>
      <c r="E31" s="40"/>
      <c r="F31" s="40"/>
      <c r="G31" s="55">
        <f t="shared" ref="G31:W31" si="7">SUM(G21:G30)</f>
        <v>0</v>
      </c>
      <c r="H31" s="55">
        <f t="shared" si="7"/>
        <v>0</v>
      </c>
      <c r="I31" s="55">
        <f t="shared" si="7"/>
        <v>0</v>
      </c>
      <c r="J31" s="272">
        <f t="shared" si="7"/>
        <v>0</v>
      </c>
      <c r="K31" s="55">
        <f t="shared" si="7"/>
        <v>0</v>
      </c>
      <c r="L31" s="55">
        <f t="shared" si="7"/>
        <v>0</v>
      </c>
      <c r="M31" s="55">
        <f t="shared" si="7"/>
        <v>0</v>
      </c>
      <c r="N31" s="55">
        <f t="shared" si="7"/>
        <v>0</v>
      </c>
      <c r="O31" s="55">
        <f t="shared" si="7"/>
        <v>0</v>
      </c>
      <c r="P31" s="55">
        <f t="shared" si="7"/>
        <v>0</v>
      </c>
      <c r="Q31" s="55">
        <f t="shared" si="7"/>
        <v>0</v>
      </c>
      <c r="R31" s="55">
        <f t="shared" si="7"/>
        <v>0</v>
      </c>
      <c r="S31" s="55">
        <f t="shared" si="7"/>
        <v>0</v>
      </c>
      <c r="T31" s="55">
        <f t="shared" si="7"/>
        <v>0</v>
      </c>
      <c r="U31" s="55">
        <f t="shared" si="7"/>
        <v>0</v>
      </c>
      <c r="V31" s="55">
        <f t="shared" si="7"/>
        <v>0</v>
      </c>
      <c r="W31" s="74">
        <f t="shared" si="7"/>
        <v>0</v>
      </c>
    </row>
  </sheetData>
  <sheetProtection algorithmName="SHA-512" hashValue="Vfp0OG1NQR13saPR5ifxlYZ5a1J2Q9az8Zm8tDYixIKo3yMnPct4HvbWA/fWQD/cocwz9lWNFTyyrzB9tMeVOA==" saltValue="3b2dB7FI56MuH+2kTHbfCQ==" spinCount="100000" sheet="1" objects="1" scenarios="1" selectLockedCells="1"/>
  <mergeCells count="3">
    <mergeCell ref="B2:D2"/>
    <mergeCell ref="F2:Q2"/>
    <mergeCell ref="B19:D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CDE09-82C8-46E4-A4AD-A1896D113E04}">
  <sheetPr>
    <tabColor theme="5"/>
  </sheetPr>
  <dimension ref="B2:U37"/>
  <sheetViews>
    <sheetView tabSelected="1" zoomScale="76" zoomScaleNormal="76" workbookViewId="0">
      <selection activeCell="H7" sqref="H7"/>
    </sheetView>
  </sheetViews>
  <sheetFormatPr defaultRowHeight="14.25" x14ac:dyDescent="0.45"/>
  <cols>
    <col min="3" max="3" width="16.6640625" customWidth="1"/>
    <col min="5" max="5" width="10" style="70" customWidth="1"/>
    <col min="15" max="15" width="9.06640625" style="70"/>
    <col min="21" max="21" width="13.3984375" customWidth="1"/>
  </cols>
  <sheetData>
    <row r="2" spans="2:21" x14ac:dyDescent="0.45">
      <c r="G2" s="384" t="s">
        <v>289</v>
      </c>
      <c r="H2" s="422"/>
      <c r="I2" s="422"/>
      <c r="J2" s="422"/>
      <c r="K2" s="422"/>
      <c r="L2" s="422"/>
      <c r="M2" s="422"/>
      <c r="N2" s="422"/>
      <c r="O2" s="422"/>
    </row>
    <row r="3" spans="2:21" x14ac:dyDescent="0.45">
      <c r="G3" s="422"/>
      <c r="H3" s="422"/>
      <c r="I3" s="422"/>
      <c r="J3" s="422"/>
      <c r="K3" s="422"/>
      <c r="L3" s="422"/>
      <c r="M3" s="422"/>
      <c r="N3" s="422"/>
      <c r="O3" s="422"/>
    </row>
    <row r="4" spans="2:21" ht="14.65" thickBot="1" x14ac:dyDescent="0.5">
      <c r="E4" s="425" t="s">
        <v>298</v>
      </c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</row>
    <row r="5" spans="2:21" ht="14.65" thickBot="1" x14ac:dyDescent="0.5">
      <c r="B5" s="273" t="s">
        <v>11</v>
      </c>
      <c r="C5" s="274" t="s">
        <v>218</v>
      </c>
      <c r="D5" s="275" t="s">
        <v>12</v>
      </c>
      <c r="E5" s="275" t="s">
        <v>271</v>
      </c>
      <c r="F5" s="275" t="s">
        <v>13</v>
      </c>
      <c r="G5" s="275" t="s">
        <v>14</v>
      </c>
      <c r="H5" s="127" t="s">
        <v>294</v>
      </c>
      <c r="I5" s="128" t="s">
        <v>295</v>
      </c>
      <c r="J5" s="129" t="s">
        <v>296</v>
      </c>
      <c r="K5" s="130" t="s">
        <v>297</v>
      </c>
      <c r="L5" s="131" t="s">
        <v>290</v>
      </c>
      <c r="M5" s="132" t="s">
        <v>290</v>
      </c>
      <c r="N5" s="133" t="s">
        <v>290</v>
      </c>
      <c r="O5" s="134" t="s">
        <v>291</v>
      </c>
      <c r="P5" s="137" t="s">
        <v>293</v>
      </c>
      <c r="Q5" s="138" t="s">
        <v>292</v>
      </c>
      <c r="R5" s="140" t="s">
        <v>60</v>
      </c>
      <c r="S5" s="140" t="s">
        <v>270</v>
      </c>
      <c r="T5" s="141" t="s">
        <v>59</v>
      </c>
      <c r="U5" s="142" t="s">
        <v>15</v>
      </c>
    </row>
    <row r="6" spans="2:21" ht="14.65" thickBot="1" x14ac:dyDescent="0.5">
      <c r="B6" s="314"/>
    </row>
    <row r="7" spans="2:21" ht="90" customHeight="1" x14ac:dyDescent="0.45">
      <c r="B7" s="319" t="s">
        <v>222</v>
      </c>
      <c r="C7" s="320"/>
      <c r="D7" s="321">
        <v>1</v>
      </c>
      <c r="E7" s="321" t="s">
        <v>272</v>
      </c>
      <c r="F7" s="322" t="s">
        <v>239</v>
      </c>
      <c r="G7" s="360">
        <v>275</v>
      </c>
      <c r="H7" s="331"/>
      <c r="I7" s="334"/>
      <c r="J7" s="337"/>
      <c r="K7" s="340"/>
      <c r="L7" s="343"/>
      <c r="M7" s="346"/>
      <c r="N7" s="349"/>
      <c r="O7" s="352"/>
      <c r="P7" s="355"/>
      <c r="Q7" s="323"/>
      <c r="R7" s="321">
        <f>SUM(H7:Q7)</f>
        <v>0</v>
      </c>
      <c r="S7" s="321">
        <f>R7*1</f>
        <v>0</v>
      </c>
      <c r="T7" s="321">
        <f>R7*2.444</f>
        <v>0</v>
      </c>
      <c r="U7" s="371">
        <f>R7*G7</f>
        <v>0</v>
      </c>
    </row>
    <row r="8" spans="2:21" ht="90" customHeight="1" x14ac:dyDescent="0.45">
      <c r="B8" s="324" t="s">
        <v>223</v>
      </c>
      <c r="C8" s="316"/>
      <c r="D8" s="317">
        <v>1</v>
      </c>
      <c r="E8" s="317" t="s">
        <v>273</v>
      </c>
      <c r="F8" s="315" t="s">
        <v>240</v>
      </c>
      <c r="G8" s="361">
        <v>275</v>
      </c>
      <c r="H8" s="332"/>
      <c r="I8" s="335"/>
      <c r="J8" s="338"/>
      <c r="K8" s="341"/>
      <c r="L8" s="344"/>
      <c r="M8" s="347"/>
      <c r="N8" s="350"/>
      <c r="O8" s="353"/>
      <c r="P8" s="356"/>
      <c r="Q8" s="318"/>
      <c r="R8" s="317">
        <f>SUM(H8:Q8)</f>
        <v>0</v>
      </c>
      <c r="S8" s="317">
        <f>R8*1</f>
        <v>0</v>
      </c>
      <c r="T8" s="317">
        <f>R8*2.105</f>
        <v>0</v>
      </c>
      <c r="U8" s="372">
        <f>R8*G8</f>
        <v>0</v>
      </c>
    </row>
    <row r="9" spans="2:21" ht="20" customHeight="1" x14ac:dyDescent="0.45">
      <c r="B9" s="324" t="s">
        <v>256</v>
      </c>
      <c r="C9" s="316"/>
      <c r="D9" s="317">
        <v>2</v>
      </c>
      <c r="E9" s="317"/>
      <c r="F9" s="315" t="s">
        <v>263</v>
      </c>
      <c r="G9" s="361">
        <v>530</v>
      </c>
      <c r="H9" s="332"/>
      <c r="I9" s="335"/>
      <c r="J9" s="338"/>
      <c r="K9" s="341"/>
      <c r="L9" s="344"/>
      <c r="M9" s="347"/>
      <c r="N9" s="350"/>
      <c r="O9" s="353"/>
      <c r="P9" s="356"/>
      <c r="Q9" s="318"/>
      <c r="R9" s="317">
        <f>SUM(H9:Q9)</f>
        <v>0</v>
      </c>
      <c r="S9" s="317">
        <f>R9*D9</f>
        <v>0</v>
      </c>
      <c r="T9" s="317">
        <f>R9*4.55</f>
        <v>0</v>
      </c>
      <c r="U9" s="372">
        <f>R9*G9</f>
        <v>0</v>
      </c>
    </row>
    <row r="10" spans="2:21" s="70" customFormat="1" x14ac:dyDescent="0.45">
      <c r="B10" s="324"/>
      <c r="C10" s="316"/>
      <c r="D10" s="317"/>
      <c r="E10" s="317"/>
      <c r="F10" s="315"/>
      <c r="G10" s="361"/>
      <c r="H10" s="358"/>
      <c r="I10" s="358"/>
      <c r="J10" s="358"/>
      <c r="K10" s="359"/>
      <c r="L10" s="358"/>
      <c r="M10" s="358"/>
      <c r="N10" s="358"/>
      <c r="O10" s="358"/>
      <c r="P10" s="358"/>
      <c r="Q10" s="318"/>
      <c r="R10" s="317"/>
      <c r="S10" s="317"/>
      <c r="T10" s="317"/>
      <c r="U10" s="325"/>
    </row>
    <row r="11" spans="2:21" ht="90" customHeight="1" x14ac:dyDescent="0.45">
      <c r="B11" s="324" t="s">
        <v>224</v>
      </c>
      <c r="C11" s="316"/>
      <c r="D11" s="317">
        <v>1</v>
      </c>
      <c r="E11" s="317" t="s">
        <v>274</v>
      </c>
      <c r="F11" s="315" t="s">
        <v>241</v>
      </c>
      <c r="G11" s="361">
        <v>275</v>
      </c>
      <c r="H11" s="332"/>
      <c r="I11" s="335"/>
      <c r="J11" s="338"/>
      <c r="K11" s="341"/>
      <c r="L11" s="344"/>
      <c r="M11" s="347"/>
      <c r="N11" s="350"/>
      <c r="O11" s="353"/>
      <c r="P11" s="356"/>
      <c r="Q11" s="318"/>
      <c r="R11" s="317">
        <f>SUM(H11:Q11)</f>
        <v>0</v>
      </c>
      <c r="S11" s="317">
        <f>R11*1</f>
        <v>0</v>
      </c>
      <c r="T11" s="317">
        <f>R11*2.208</f>
        <v>0</v>
      </c>
      <c r="U11" s="372">
        <f>R11*G11</f>
        <v>0</v>
      </c>
    </row>
    <row r="12" spans="2:21" ht="90" customHeight="1" x14ac:dyDescent="0.45">
      <c r="B12" s="324" t="s">
        <v>225</v>
      </c>
      <c r="C12" s="316"/>
      <c r="D12" s="317">
        <v>1</v>
      </c>
      <c r="E12" s="317" t="s">
        <v>275</v>
      </c>
      <c r="F12" s="315" t="s">
        <v>242</v>
      </c>
      <c r="G12" s="361">
        <v>275</v>
      </c>
      <c r="H12" s="332"/>
      <c r="I12" s="335"/>
      <c r="J12" s="338"/>
      <c r="K12" s="341"/>
      <c r="L12" s="344"/>
      <c r="M12" s="347"/>
      <c r="N12" s="350"/>
      <c r="O12" s="353"/>
      <c r="P12" s="356"/>
      <c r="Q12" s="318"/>
      <c r="R12" s="317">
        <f>SUM(H12:Q12)</f>
        <v>0</v>
      </c>
      <c r="S12" s="317">
        <f>R12*1</f>
        <v>0</v>
      </c>
      <c r="T12" s="317">
        <f>R12*2.644</f>
        <v>0</v>
      </c>
      <c r="U12" s="372">
        <f>R12*G12</f>
        <v>0</v>
      </c>
    </row>
    <row r="13" spans="2:21" ht="20" customHeight="1" x14ac:dyDescent="0.45">
      <c r="B13" s="324" t="s">
        <v>257</v>
      </c>
      <c r="C13" s="316"/>
      <c r="D13" s="317">
        <v>2</v>
      </c>
      <c r="E13" s="317"/>
      <c r="F13" s="315" t="s">
        <v>264</v>
      </c>
      <c r="G13" s="361">
        <v>530</v>
      </c>
      <c r="H13" s="332"/>
      <c r="I13" s="335"/>
      <c r="J13" s="338"/>
      <c r="K13" s="341"/>
      <c r="L13" s="344"/>
      <c r="M13" s="347"/>
      <c r="N13" s="350"/>
      <c r="O13" s="353"/>
      <c r="P13" s="356"/>
      <c r="Q13" s="318"/>
      <c r="R13" s="317">
        <f>SUM(H13:Q13)</f>
        <v>0</v>
      </c>
      <c r="S13" s="317">
        <f>R13*D13</f>
        <v>0</v>
      </c>
      <c r="T13" s="317">
        <f>R13*4.852</f>
        <v>0</v>
      </c>
      <c r="U13" s="372">
        <f>R13*G13</f>
        <v>0</v>
      </c>
    </row>
    <row r="14" spans="2:21" s="70" customFormat="1" x14ac:dyDescent="0.45">
      <c r="B14" s="324"/>
      <c r="C14" s="316"/>
      <c r="D14" s="317"/>
      <c r="E14" s="317"/>
      <c r="F14" s="315"/>
      <c r="G14" s="361"/>
      <c r="H14" s="358"/>
      <c r="I14" s="358"/>
      <c r="J14" s="358"/>
      <c r="K14" s="359"/>
      <c r="L14" s="358"/>
      <c r="M14" s="358"/>
      <c r="N14" s="358"/>
      <c r="O14" s="358"/>
      <c r="P14" s="358"/>
      <c r="Q14" s="318"/>
      <c r="R14" s="317"/>
      <c r="S14" s="317"/>
      <c r="T14" s="317"/>
      <c r="U14" s="325"/>
    </row>
    <row r="15" spans="2:21" ht="90" customHeight="1" x14ac:dyDescent="0.45">
      <c r="B15" s="324" t="s">
        <v>226</v>
      </c>
      <c r="C15" s="316"/>
      <c r="D15" s="317">
        <v>1</v>
      </c>
      <c r="E15" s="317" t="s">
        <v>276</v>
      </c>
      <c r="F15" s="315" t="s">
        <v>243</v>
      </c>
      <c r="G15" s="361">
        <v>250</v>
      </c>
      <c r="H15" s="332"/>
      <c r="I15" s="335"/>
      <c r="J15" s="338"/>
      <c r="K15" s="341"/>
      <c r="L15" s="344"/>
      <c r="M15" s="347"/>
      <c r="N15" s="350"/>
      <c r="O15" s="353"/>
      <c r="P15" s="356"/>
      <c r="Q15" s="318"/>
      <c r="R15" s="317">
        <f>SUM(H15:Q15)</f>
        <v>0</v>
      </c>
      <c r="S15" s="317">
        <f>R15*1</f>
        <v>0</v>
      </c>
      <c r="T15" s="317">
        <f>R15*2.205</f>
        <v>0</v>
      </c>
      <c r="U15" s="372">
        <f>R15*G15</f>
        <v>0</v>
      </c>
    </row>
    <row r="16" spans="2:21" ht="90" customHeight="1" x14ac:dyDescent="0.45">
      <c r="B16" s="324" t="s">
        <v>227</v>
      </c>
      <c r="C16" s="316"/>
      <c r="D16" s="317">
        <v>1</v>
      </c>
      <c r="E16" s="317" t="s">
        <v>277</v>
      </c>
      <c r="F16" s="315" t="s">
        <v>244</v>
      </c>
      <c r="G16" s="361">
        <v>275</v>
      </c>
      <c r="H16" s="332"/>
      <c r="I16" s="335"/>
      <c r="J16" s="338"/>
      <c r="K16" s="341"/>
      <c r="L16" s="344"/>
      <c r="M16" s="347"/>
      <c r="N16" s="350"/>
      <c r="O16" s="353"/>
      <c r="P16" s="356"/>
      <c r="Q16" s="318"/>
      <c r="R16" s="317">
        <f>SUM(H16:Q16)</f>
        <v>0</v>
      </c>
      <c r="S16" s="317">
        <f>R16*1</f>
        <v>0</v>
      </c>
      <c r="T16" s="317">
        <f>R16*2.557</f>
        <v>0</v>
      </c>
      <c r="U16" s="372">
        <f>R16*G16</f>
        <v>0</v>
      </c>
    </row>
    <row r="17" spans="2:21" ht="20" customHeight="1" x14ac:dyDescent="0.45">
      <c r="B17" s="324" t="s">
        <v>258</v>
      </c>
      <c r="C17" s="316"/>
      <c r="D17" s="317">
        <v>2</v>
      </c>
      <c r="E17" s="317"/>
      <c r="F17" s="315" t="s">
        <v>265</v>
      </c>
      <c r="G17" s="361">
        <v>505</v>
      </c>
      <c r="H17" s="332"/>
      <c r="I17" s="335"/>
      <c r="J17" s="338"/>
      <c r="K17" s="341"/>
      <c r="L17" s="344"/>
      <c r="M17" s="347"/>
      <c r="N17" s="350"/>
      <c r="O17" s="353"/>
      <c r="P17" s="356"/>
      <c r="Q17" s="318"/>
      <c r="R17" s="317">
        <f>SUM(H17:Q17)</f>
        <v>0</v>
      </c>
      <c r="S17" s="317">
        <f>R17*D17</f>
        <v>0</v>
      </c>
      <c r="T17" s="317">
        <f>R17*4.762</f>
        <v>0</v>
      </c>
      <c r="U17" s="372">
        <f>R17*G17</f>
        <v>0</v>
      </c>
    </row>
    <row r="18" spans="2:21" s="70" customFormat="1" x14ac:dyDescent="0.45">
      <c r="B18" s="324"/>
      <c r="C18" s="316"/>
      <c r="D18" s="317"/>
      <c r="E18" s="317"/>
      <c r="F18" s="315"/>
      <c r="G18" s="361"/>
      <c r="H18" s="358"/>
      <c r="I18" s="358"/>
      <c r="J18" s="358"/>
      <c r="K18" s="359"/>
      <c r="L18" s="358"/>
      <c r="M18" s="358"/>
      <c r="N18" s="358"/>
      <c r="O18" s="358"/>
      <c r="P18" s="358"/>
      <c r="Q18" s="358"/>
      <c r="R18" s="317"/>
      <c r="S18" s="317"/>
      <c r="T18" s="317"/>
      <c r="U18" s="325"/>
    </row>
    <row r="19" spans="2:21" ht="90" customHeight="1" x14ac:dyDescent="0.45">
      <c r="B19" s="324" t="s">
        <v>228</v>
      </c>
      <c r="C19" s="316"/>
      <c r="D19" s="317">
        <v>1</v>
      </c>
      <c r="E19" s="317" t="s">
        <v>278</v>
      </c>
      <c r="F19" s="315" t="s">
        <v>245</v>
      </c>
      <c r="G19" s="361">
        <v>212</v>
      </c>
      <c r="H19" s="332"/>
      <c r="I19" s="335"/>
      <c r="J19" s="338"/>
      <c r="K19" s="341"/>
      <c r="L19" s="344"/>
      <c r="M19" s="347"/>
      <c r="N19" s="350"/>
      <c r="O19" s="353"/>
      <c r="P19" s="356"/>
      <c r="Q19" s="318"/>
      <c r="R19" s="317">
        <f>SUM(H19:Q19)</f>
        <v>0</v>
      </c>
      <c r="S19" s="317">
        <f>R19*1</f>
        <v>0</v>
      </c>
      <c r="T19" s="317">
        <f>R19*1.741</f>
        <v>0</v>
      </c>
      <c r="U19" s="372">
        <f>R19*G19</f>
        <v>0</v>
      </c>
    </row>
    <row r="20" spans="2:21" ht="90" customHeight="1" x14ac:dyDescent="0.45">
      <c r="B20" s="324" t="s">
        <v>229</v>
      </c>
      <c r="C20" s="316"/>
      <c r="D20" s="317">
        <v>1</v>
      </c>
      <c r="E20" s="317" t="s">
        <v>279</v>
      </c>
      <c r="F20" s="315" t="s">
        <v>246</v>
      </c>
      <c r="G20" s="361">
        <v>225</v>
      </c>
      <c r="H20" s="332"/>
      <c r="I20" s="335"/>
      <c r="J20" s="338"/>
      <c r="K20" s="341"/>
      <c r="L20" s="344"/>
      <c r="M20" s="347"/>
      <c r="N20" s="350"/>
      <c r="O20" s="353"/>
      <c r="P20" s="356"/>
      <c r="Q20" s="318"/>
      <c r="R20" s="317">
        <f>SUM(H20:Q20)</f>
        <v>0</v>
      </c>
      <c r="S20" s="317">
        <f>R20*1</f>
        <v>0</v>
      </c>
      <c r="T20" s="317">
        <f>R20*1.609</f>
        <v>0</v>
      </c>
      <c r="U20" s="372">
        <f>R20*G20</f>
        <v>0</v>
      </c>
    </row>
    <row r="21" spans="2:21" ht="90" customHeight="1" x14ac:dyDescent="0.45">
      <c r="B21" s="324" t="s">
        <v>230</v>
      </c>
      <c r="C21" s="316"/>
      <c r="D21" s="317">
        <v>1</v>
      </c>
      <c r="E21" s="317" t="s">
        <v>280</v>
      </c>
      <c r="F21" s="315" t="s">
        <v>247</v>
      </c>
      <c r="G21" s="361">
        <v>225</v>
      </c>
      <c r="H21" s="332"/>
      <c r="I21" s="335"/>
      <c r="J21" s="338"/>
      <c r="K21" s="341"/>
      <c r="L21" s="344"/>
      <c r="M21" s="347"/>
      <c r="N21" s="350"/>
      <c r="O21" s="353"/>
      <c r="P21" s="356"/>
      <c r="Q21" s="318"/>
      <c r="R21" s="317">
        <f>SUM(H21:Q21)</f>
        <v>0</v>
      </c>
      <c r="S21" s="317">
        <f>R21*1</f>
        <v>0</v>
      </c>
      <c r="T21" s="317">
        <f>R21*1.671</f>
        <v>0</v>
      </c>
      <c r="U21" s="372">
        <f>R21*G21</f>
        <v>0</v>
      </c>
    </row>
    <row r="22" spans="2:21" ht="20" customHeight="1" x14ac:dyDescent="0.45">
      <c r="B22" s="324" t="s">
        <v>259</v>
      </c>
      <c r="C22" s="316"/>
      <c r="D22" s="317">
        <v>3</v>
      </c>
      <c r="E22" s="317"/>
      <c r="F22" s="315" t="s">
        <v>266</v>
      </c>
      <c r="G22" s="361">
        <v>640</v>
      </c>
      <c r="H22" s="332"/>
      <c r="I22" s="335"/>
      <c r="J22" s="338"/>
      <c r="K22" s="341"/>
      <c r="L22" s="344"/>
      <c r="M22" s="347"/>
      <c r="N22" s="350"/>
      <c r="O22" s="353"/>
      <c r="P22" s="356"/>
      <c r="Q22" s="318"/>
      <c r="R22" s="317">
        <f>SUM(H22:Q22)</f>
        <v>0</v>
      </c>
      <c r="S22" s="317">
        <f>R22*D22</f>
        <v>0</v>
      </c>
      <c r="T22" s="317">
        <f>R22*5.021</f>
        <v>0</v>
      </c>
      <c r="U22" s="372">
        <f>R22*G22</f>
        <v>0</v>
      </c>
    </row>
    <row r="23" spans="2:21" s="70" customFormat="1" x14ac:dyDescent="0.45">
      <c r="B23" s="324"/>
      <c r="C23" s="316"/>
      <c r="D23" s="317"/>
      <c r="E23" s="317"/>
      <c r="F23" s="315"/>
      <c r="G23" s="361"/>
      <c r="H23" s="358"/>
      <c r="I23" s="358"/>
      <c r="J23" s="358"/>
      <c r="K23" s="359"/>
      <c r="L23" s="358"/>
      <c r="M23" s="358"/>
      <c r="N23" s="358"/>
      <c r="O23" s="358"/>
      <c r="P23" s="358"/>
      <c r="Q23" s="318"/>
      <c r="R23" s="317"/>
      <c r="S23" s="317"/>
      <c r="T23" s="317"/>
      <c r="U23" s="325"/>
    </row>
    <row r="24" spans="2:21" ht="90" customHeight="1" x14ac:dyDescent="0.45">
      <c r="B24" s="324" t="s">
        <v>231</v>
      </c>
      <c r="C24" s="316"/>
      <c r="D24" s="317">
        <v>1</v>
      </c>
      <c r="E24" s="317" t="s">
        <v>281</v>
      </c>
      <c r="F24" s="315" t="s">
        <v>248</v>
      </c>
      <c r="G24" s="361">
        <v>181</v>
      </c>
      <c r="H24" s="332"/>
      <c r="I24" s="335"/>
      <c r="J24" s="338"/>
      <c r="K24" s="341"/>
      <c r="L24" s="344"/>
      <c r="M24" s="347"/>
      <c r="N24" s="350"/>
      <c r="O24" s="353"/>
      <c r="P24" s="356"/>
      <c r="Q24" s="318"/>
      <c r="R24" s="317">
        <f>SUM(H24:Q24)</f>
        <v>0</v>
      </c>
      <c r="S24" s="317">
        <f>R24*1</f>
        <v>0</v>
      </c>
      <c r="T24" s="317">
        <f>R24*1.555</f>
        <v>0</v>
      </c>
      <c r="U24" s="372">
        <f>R24*G24</f>
        <v>0</v>
      </c>
    </row>
    <row r="25" spans="2:21" ht="90" customHeight="1" x14ac:dyDescent="0.45">
      <c r="B25" s="324" t="s">
        <v>232</v>
      </c>
      <c r="C25" s="316"/>
      <c r="D25" s="317">
        <v>1</v>
      </c>
      <c r="E25" s="317" t="s">
        <v>282</v>
      </c>
      <c r="F25" s="315" t="s">
        <v>249</v>
      </c>
      <c r="G25" s="361">
        <v>181</v>
      </c>
      <c r="H25" s="332"/>
      <c r="I25" s="335"/>
      <c r="J25" s="338"/>
      <c r="K25" s="341"/>
      <c r="L25" s="344"/>
      <c r="M25" s="347"/>
      <c r="N25" s="350"/>
      <c r="O25" s="353"/>
      <c r="P25" s="356"/>
      <c r="Q25" s="318"/>
      <c r="R25" s="317">
        <f>SUM(H25:Q25)</f>
        <v>0</v>
      </c>
      <c r="S25" s="317">
        <f>R25*1</f>
        <v>0</v>
      </c>
      <c r="T25" s="317">
        <f>R25*1.599</f>
        <v>0</v>
      </c>
      <c r="U25" s="372">
        <f>R25*G25</f>
        <v>0</v>
      </c>
    </row>
    <row r="26" spans="2:21" ht="90" customHeight="1" x14ac:dyDescent="0.45">
      <c r="B26" s="324" t="s">
        <v>233</v>
      </c>
      <c r="C26" s="316"/>
      <c r="D26" s="317">
        <v>1</v>
      </c>
      <c r="E26" s="317" t="s">
        <v>283</v>
      </c>
      <c r="F26" s="315" t="s">
        <v>250</v>
      </c>
      <c r="G26" s="361">
        <v>181</v>
      </c>
      <c r="H26" s="332"/>
      <c r="I26" s="335"/>
      <c r="J26" s="338"/>
      <c r="K26" s="341"/>
      <c r="L26" s="344"/>
      <c r="M26" s="347"/>
      <c r="N26" s="350"/>
      <c r="O26" s="353"/>
      <c r="P26" s="356"/>
      <c r="Q26" s="318"/>
      <c r="R26" s="317">
        <f>SUM(H26:Q26)</f>
        <v>0</v>
      </c>
      <c r="S26" s="317">
        <f>R26*1</f>
        <v>0</v>
      </c>
      <c r="T26" s="317">
        <f>R26*1.564</f>
        <v>0</v>
      </c>
      <c r="U26" s="372">
        <f>R26*G26</f>
        <v>0</v>
      </c>
    </row>
    <row r="27" spans="2:21" ht="20" customHeight="1" x14ac:dyDescent="0.45">
      <c r="B27" s="324" t="s">
        <v>260</v>
      </c>
      <c r="C27" s="316"/>
      <c r="D27" s="317">
        <v>3</v>
      </c>
      <c r="E27" s="317"/>
      <c r="F27" s="315" t="s">
        <v>267</v>
      </c>
      <c r="G27" s="361">
        <v>520</v>
      </c>
      <c r="H27" s="332"/>
      <c r="I27" s="335"/>
      <c r="J27" s="338"/>
      <c r="K27" s="341"/>
      <c r="L27" s="344"/>
      <c r="M27" s="347"/>
      <c r="N27" s="350"/>
      <c r="O27" s="353"/>
      <c r="P27" s="356"/>
      <c r="Q27" s="318"/>
      <c r="R27" s="317">
        <f>SUM(H27:Q27)</f>
        <v>0</v>
      </c>
      <c r="S27" s="317">
        <f>R27*D27</f>
        <v>0</v>
      </c>
      <c r="T27" s="317">
        <f>R27*4.718</f>
        <v>0</v>
      </c>
      <c r="U27" s="372">
        <f>R27*G27</f>
        <v>0</v>
      </c>
    </row>
    <row r="28" spans="2:21" s="70" customFormat="1" x14ac:dyDescent="0.45">
      <c r="B28" s="324"/>
      <c r="C28" s="316"/>
      <c r="D28" s="317"/>
      <c r="E28" s="317"/>
      <c r="F28" s="315"/>
      <c r="G28" s="361"/>
      <c r="H28" s="358"/>
      <c r="I28" s="358"/>
      <c r="J28" s="358"/>
      <c r="K28" s="359"/>
      <c r="L28" s="358"/>
      <c r="M28" s="358"/>
      <c r="N28" s="358"/>
      <c r="O28" s="358"/>
      <c r="P28" s="358"/>
      <c r="Q28" s="318"/>
      <c r="R28" s="317"/>
      <c r="S28" s="317"/>
      <c r="T28" s="317"/>
      <c r="U28" s="325"/>
    </row>
    <row r="29" spans="2:21" ht="90" customHeight="1" x14ac:dyDescent="0.45">
      <c r="B29" s="324" t="s">
        <v>234</v>
      </c>
      <c r="C29" s="316"/>
      <c r="D29" s="317">
        <v>1</v>
      </c>
      <c r="E29" s="317" t="s">
        <v>284</v>
      </c>
      <c r="F29" s="315" t="s">
        <v>251</v>
      </c>
      <c r="G29" s="361">
        <v>181</v>
      </c>
      <c r="H29" s="332"/>
      <c r="I29" s="335"/>
      <c r="J29" s="338"/>
      <c r="K29" s="341"/>
      <c r="L29" s="344"/>
      <c r="M29" s="347"/>
      <c r="N29" s="350"/>
      <c r="O29" s="353"/>
      <c r="P29" s="356"/>
      <c r="Q29" s="318"/>
      <c r="R29" s="317">
        <f>SUM(H29:Q29)</f>
        <v>0</v>
      </c>
      <c r="S29" s="317">
        <f>R29*1</f>
        <v>0</v>
      </c>
      <c r="T29" s="317">
        <f>R29*1.357</f>
        <v>0</v>
      </c>
      <c r="U29" s="372">
        <f>R29*G29</f>
        <v>0</v>
      </c>
    </row>
    <row r="30" spans="2:21" ht="90" customHeight="1" x14ac:dyDescent="0.45">
      <c r="B30" s="324" t="s">
        <v>235</v>
      </c>
      <c r="C30" s="316"/>
      <c r="D30" s="317">
        <v>1</v>
      </c>
      <c r="E30" s="317" t="s">
        <v>285</v>
      </c>
      <c r="F30" s="315" t="s">
        <v>252</v>
      </c>
      <c r="G30" s="361">
        <v>194</v>
      </c>
      <c r="H30" s="332"/>
      <c r="I30" s="335"/>
      <c r="J30" s="338"/>
      <c r="K30" s="341"/>
      <c r="L30" s="344"/>
      <c r="M30" s="347"/>
      <c r="N30" s="350"/>
      <c r="O30" s="353"/>
      <c r="P30" s="356"/>
      <c r="Q30" s="318"/>
      <c r="R30" s="317">
        <f>SUM(H30:Q30)</f>
        <v>0</v>
      </c>
      <c r="S30" s="317">
        <f>R30*1</f>
        <v>0</v>
      </c>
      <c r="T30" s="317">
        <f>R30*1.613</f>
        <v>0</v>
      </c>
      <c r="U30" s="372">
        <f>R30*G30</f>
        <v>0</v>
      </c>
    </row>
    <row r="31" spans="2:21" ht="90" customHeight="1" x14ac:dyDescent="0.45">
      <c r="B31" s="324" t="s">
        <v>236</v>
      </c>
      <c r="C31" s="316"/>
      <c r="D31" s="317">
        <v>1</v>
      </c>
      <c r="E31" s="317" t="s">
        <v>286</v>
      </c>
      <c r="F31" s="315" t="s">
        <v>253</v>
      </c>
      <c r="G31" s="361">
        <v>194</v>
      </c>
      <c r="H31" s="332"/>
      <c r="I31" s="335"/>
      <c r="J31" s="338"/>
      <c r="K31" s="341"/>
      <c r="L31" s="344"/>
      <c r="M31" s="347"/>
      <c r="N31" s="350"/>
      <c r="O31" s="353"/>
      <c r="P31" s="356"/>
      <c r="Q31" s="318"/>
      <c r="R31" s="317">
        <f>SUM(H31:Q31)</f>
        <v>0</v>
      </c>
      <c r="S31" s="317">
        <f>R31*1</f>
        <v>0</v>
      </c>
      <c r="T31" s="317">
        <f>R31*1.592</f>
        <v>0</v>
      </c>
      <c r="U31" s="372">
        <f>R31*G31</f>
        <v>0</v>
      </c>
    </row>
    <row r="32" spans="2:21" ht="20" customHeight="1" x14ac:dyDescent="0.45">
      <c r="B32" s="324" t="s">
        <v>261</v>
      </c>
      <c r="C32" s="316"/>
      <c r="D32" s="317">
        <v>3</v>
      </c>
      <c r="E32" s="317"/>
      <c r="F32" s="315" t="s">
        <v>268</v>
      </c>
      <c r="G32" s="361">
        <v>550</v>
      </c>
      <c r="H32" s="332"/>
      <c r="I32" s="335"/>
      <c r="J32" s="338"/>
      <c r="K32" s="341"/>
      <c r="L32" s="344"/>
      <c r="M32" s="347"/>
      <c r="N32" s="350"/>
      <c r="O32" s="353"/>
      <c r="P32" s="356"/>
      <c r="Q32" s="318"/>
      <c r="R32" s="317">
        <f>SUM(H32:Q32)</f>
        <v>0</v>
      </c>
      <c r="S32" s="317">
        <f>R32*D32</f>
        <v>0</v>
      </c>
      <c r="T32" s="317">
        <f>R32*4.562</f>
        <v>0</v>
      </c>
      <c r="U32" s="372">
        <f>R32*G32</f>
        <v>0</v>
      </c>
    </row>
    <row r="33" spans="2:21" s="70" customFormat="1" x14ac:dyDescent="0.45">
      <c r="B33" s="324"/>
      <c r="C33" s="316"/>
      <c r="D33" s="317"/>
      <c r="E33" s="317"/>
      <c r="F33" s="315"/>
      <c r="G33" s="361"/>
      <c r="H33" s="358"/>
      <c r="I33" s="358"/>
      <c r="J33" s="358"/>
      <c r="K33" s="359"/>
      <c r="L33" s="358"/>
      <c r="M33" s="358"/>
      <c r="N33" s="358"/>
      <c r="O33" s="358"/>
      <c r="P33" s="358"/>
      <c r="Q33" s="318"/>
      <c r="R33" s="317"/>
      <c r="S33" s="317"/>
      <c r="T33" s="317"/>
      <c r="U33" s="325"/>
    </row>
    <row r="34" spans="2:21" ht="90" customHeight="1" x14ac:dyDescent="0.45">
      <c r="B34" s="324" t="s">
        <v>237</v>
      </c>
      <c r="C34" s="316"/>
      <c r="D34" s="317">
        <v>1</v>
      </c>
      <c r="E34" s="317" t="s">
        <v>287</v>
      </c>
      <c r="F34" s="315" t="s">
        <v>254</v>
      </c>
      <c r="G34" s="361">
        <v>225</v>
      </c>
      <c r="H34" s="332"/>
      <c r="I34" s="335"/>
      <c r="J34" s="338"/>
      <c r="K34" s="341"/>
      <c r="L34" s="344"/>
      <c r="M34" s="347"/>
      <c r="N34" s="350"/>
      <c r="O34" s="353"/>
      <c r="P34" s="356"/>
      <c r="Q34" s="318"/>
      <c r="R34" s="317">
        <f>SUM(H34:Q34)</f>
        <v>0</v>
      </c>
      <c r="S34" s="317">
        <f>R34*1</f>
        <v>0</v>
      </c>
      <c r="T34" s="317">
        <f>R34*1.884</f>
        <v>0</v>
      </c>
      <c r="U34" s="372">
        <f>R34*G34</f>
        <v>0</v>
      </c>
    </row>
    <row r="35" spans="2:21" ht="90" customHeight="1" x14ac:dyDescent="0.45">
      <c r="B35" s="324" t="s">
        <v>238</v>
      </c>
      <c r="C35" s="316"/>
      <c r="D35" s="317">
        <v>1</v>
      </c>
      <c r="E35" s="317" t="s">
        <v>288</v>
      </c>
      <c r="F35" s="315" t="s">
        <v>255</v>
      </c>
      <c r="G35" s="361">
        <v>212</v>
      </c>
      <c r="H35" s="332"/>
      <c r="I35" s="335"/>
      <c r="J35" s="338"/>
      <c r="K35" s="341"/>
      <c r="L35" s="344"/>
      <c r="M35" s="347"/>
      <c r="N35" s="350"/>
      <c r="O35" s="353"/>
      <c r="P35" s="356"/>
      <c r="Q35" s="318"/>
      <c r="R35" s="317">
        <f>SUM(H35:Q35)</f>
        <v>0</v>
      </c>
      <c r="S35" s="317">
        <f>R35*1</f>
        <v>0</v>
      </c>
      <c r="T35" s="317">
        <f>R35*1.879</f>
        <v>0</v>
      </c>
      <c r="U35" s="372">
        <f>R35*G35</f>
        <v>0</v>
      </c>
    </row>
    <row r="36" spans="2:21" ht="20" customHeight="1" thickBot="1" x14ac:dyDescent="0.5">
      <c r="B36" s="326" t="s">
        <v>262</v>
      </c>
      <c r="C36" s="327"/>
      <c r="D36" s="328">
        <v>2</v>
      </c>
      <c r="E36" s="328"/>
      <c r="F36" s="329" t="s">
        <v>269</v>
      </c>
      <c r="G36" s="362">
        <v>415</v>
      </c>
      <c r="H36" s="333"/>
      <c r="I36" s="336"/>
      <c r="J36" s="339"/>
      <c r="K36" s="342"/>
      <c r="L36" s="345"/>
      <c r="M36" s="348"/>
      <c r="N36" s="351"/>
      <c r="O36" s="354"/>
      <c r="P36" s="357"/>
      <c r="Q36" s="330"/>
      <c r="R36" s="370">
        <f>SUM(H36:Q36)</f>
        <v>0</v>
      </c>
      <c r="S36" s="370">
        <f>R36*D36</f>
        <v>0</v>
      </c>
      <c r="T36" s="370">
        <f>R36*3.763</f>
        <v>0</v>
      </c>
      <c r="U36" s="373">
        <f>R36*G36</f>
        <v>0</v>
      </c>
    </row>
    <row r="37" spans="2:21" ht="14.65" thickBot="1" x14ac:dyDescent="0.5">
      <c r="R37" s="374">
        <f>SUM(R7:R36)</f>
        <v>0</v>
      </c>
      <c r="S37" s="126">
        <f>SUM(S7:S36)</f>
        <v>0</v>
      </c>
      <c r="T37" s="126">
        <f>SUM(T7:T36)</f>
        <v>0</v>
      </c>
      <c r="U37" s="375">
        <f>SUM(U7:U36)</f>
        <v>0</v>
      </c>
    </row>
  </sheetData>
  <sheetProtection algorithmName="SHA-512" hashValue="1+A30MlgN0ELF2kOBF7y3VcGuK2ATrUIp2hWFEb4CLkIWFAqPUd4HdZyA5bKWhW92GUsQErAa83Cn90/JFdwlw==" saltValue="vPZK9NzBNMkgpD4VrNtV1Q==" spinCount="100000" sheet="1" objects="1" scenarios="1" selectLockedCells="1"/>
  <mergeCells count="2">
    <mergeCell ref="G2:O3"/>
    <mergeCell ref="E4:Q4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A2646-A45C-4D3E-A5B1-73E0038B30E5}">
  <sheetPr>
    <tabColor rgb="FFFFFF00"/>
  </sheetPr>
  <dimension ref="B2:W28"/>
  <sheetViews>
    <sheetView topLeftCell="A23" zoomScale="79" zoomScaleNormal="79" workbookViewId="0">
      <selection activeCell="G27" sqref="G27"/>
    </sheetView>
  </sheetViews>
  <sheetFormatPr defaultRowHeight="14.25" x14ac:dyDescent="0.45"/>
  <cols>
    <col min="2" max="2" width="13.33203125" customWidth="1"/>
    <col min="3" max="3" width="16.6640625" style="70" customWidth="1"/>
    <col min="23" max="23" width="11.73046875" customWidth="1"/>
  </cols>
  <sheetData>
    <row r="2" spans="2:23" ht="36.4" thickBot="1" x14ac:dyDescent="1.1000000000000001">
      <c r="B2" s="423" t="s">
        <v>39</v>
      </c>
      <c r="C2" s="423"/>
      <c r="D2" s="424"/>
      <c r="E2" s="40"/>
      <c r="F2" s="40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40"/>
      <c r="U2" s="40"/>
      <c r="V2" s="40"/>
      <c r="W2" s="40"/>
    </row>
    <row r="3" spans="2:23" s="70" customFormat="1" ht="15.4" customHeight="1" thickBot="1" x14ac:dyDescent="0.5">
      <c r="B3" s="273" t="s">
        <v>11</v>
      </c>
      <c r="C3" s="274" t="s">
        <v>217</v>
      </c>
      <c r="D3" s="275" t="s">
        <v>12</v>
      </c>
      <c r="E3" s="275" t="s">
        <v>13</v>
      </c>
      <c r="F3" s="275" t="s">
        <v>14</v>
      </c>
      <c r="G3" s="110">
        <v>2</v>
      </c>
      <c r="H3" s="111">
        <v>5</v>
      </c>
      <c r="I3" s="112">
        <v>7</v>
      </c>
      <c r="J3" s="113">
        <v>10</v>
      </c>
      <c r="K3" s="114">
        <v>11</v>
      </c>
      <c r="L3" s="115">
        <v>12</v>
      </c>
      <c r="M3" s="116">
        <v>13</v>
      </c>
      <c r="N3" s="117">
        <v>16</v>
      </c>
      <c r="O3" s="118">
        <v>69</v>
      </c>
      <c r="P3" s="119">
        <v>76</v>
      </c>
      <c r="Q3" s="120">
        <v>77</v>
      </c>
      <c r="R3" s="100">
        <v>79</v>
      </c>
      <c r="S3" s="109">
        <v>81</v>
      </c>
      <c r="T3" s="101" t="s">
        <v>60</v>
      </c>
      <c r="U3" s="101" t="s">
        <v>61</v>
      </c>
      <c r="V3" s="101" t="s">
        <v>59</v>
      </c>
      <c r="W3" s="101" t="s">
        <v>202</v>
      </c>
    </row>
    <row r="4" spans="2:23" ht="14.65" thickBot="1" x14ac:dyDescent="0.5">
      <c r="B4" s="40"/>
      <c r="C4" s="40"/>
      <c r="D4" s="40"/>
      <c r="E4" s="40"/>
      <c r="F4" s="40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40"/>
      <c r="U4" s="40"/>
      <c r="V4" s="40"/>
      <c r="W4" s="40"/>
    </row>
    <row r="5" spans="2:23" ht="100.05" customHeight="1" x14ac:dyDescent="0.45">
      <c r="B5" s="153" t="s">
        <v>62</v>
      </c>
      <c r="C5" s="150"/>
      <c r="D5" s="157">
        <v>10</v>
      </c>
      <c r="E5" s="157" t="s">
        <v>46</v>
      </c>
      <c r="F5" s="158">
        <v>82.5</v>
      </c>
      <c r="G5" s="203"/>
      <c r="H5" s="204"/>
      <c r="I5" s="205"/>
      <c r="J5" s="206"/>
      <c r="K5" s="207"/>
      <c r="L5" s="208"/>
      <c r="M5" s="209"/>
      <c r="N5" s="210"/>
      <c r="O5" s="211"/>
      <c r="P5" s="212"/>
      <c r="Q5" s="213"/>
      <c r="R5" s="214"/>
      <c r="S5" s="215"/>
      <c r="T5" s="165">
        <f t="shared" ref="T5:T26" si="0">G5+H5+I5+J5+K5+L5+M5+N5+O5+P5+Q5+R5+S5</f>
        <v>0</v>
      </c>
      <c r="U5" s="165">
        <f t="shared" ref="U5:U27" si="1">T5*D5</f>
        <v>0</v>
      </c>
      <c r="V5" s="176">
        <f>T5*1.12</f>
        <v>0</v>
      </c>
      <c r="W5" s="192">
        <f t="shared" ref="W5:W27" si="2">T5*F5</f>
        <v>0</v>
      </c>
    </row>
    <row r="6" spans="2:23" ht="100.05" customHeight="1" x14ac:dyDescent="0.45">
      <c r="B6" s="191" t="s">
        <v>69</v>
      </c>
      <c r="C6" s="145"/>
      <c r="D6" s="193">
        <v>10</v>
      </c>
      <c r="E6" s="193" t="s">
        <v>70</v>
      </c>
      <c r="F6" s="194">
        <v>87.5</v>
      </c>
      <c r="G6" s="255"/>
      <c r="H6" s="256"/>
      <c r="I6" s="257"/>
      <c r="J6" s="258"/>
      <c r="K6" s="259"/>
      <c r="L6" s="260"/>
      <c r="M6" s="261"/>
      <c r="N6" s="262"/>
      <c r="O6" s="263"/>
      <c r="P6" s="264"/>
      <c r="Q6" s="265"/>
      <c r="R6" s="266"/>
      <c r="S6" s="267"/>
      <c r="T6" s="195">
        <f>SUM(G6:S6)</f>
        <v>0</v>
      </c>
      <c r="U6" s="195">
        <f>D6*T6</f>
        <v>0</v>
      </c>
      <c r="V6" s="196">
        <f>T6*1.49</f>
        <v>0</v>
      </c>
      <c r="W6" s="197">
        <f>F6*T6</f>
        <v>0</v>
      </c>
    </row>
    <row r="7" spans="2:23" ht="100.05" customHeight="1" x14ac:dyDescent="0.45">
      <c r="B7" s="154" t="s">
        <v>63</v>
      </c>
      <c r="C7" s="151"/>
      <c r="D7" s="159">
        <v>10</v>
      </c>
      <c r="E7" s="159" t="s">
        <v>47</v>
      </c>
      <c r="F7" s="160">
        <v>101.25</v>
      </c>
      <c r="G7" s="216"/>
      <c r="H7" s="217"/>
      <c r="I7" s="218"/>
      <c r="J7" s="219"/>
      <c r="K7" s="220"/>
      <c r="L7" s="221"/>
      <c r="M7" s="222"/>
      <c r="N7" s="223"/>
      <c r="O7" s="224"/>
      <c r="P7" s="225"/>
      <c r="Q7" s="226"/>
      <c r="R7" s="227"/>
      <c r="S7" s="228"/>
      <c r="T7" s="167">
        <f t="shared" si="0"/>
        <v>0</v>
      </c>
      <c r="U7" s="167">
        <f t="shared" si="1"/>
        <v>0</v>
      </c>
      <c r="V7" s="182">
        <f>T7*1.22</f>
        <v>0</v>
      </c>
      <c r="W7" s="198">
        <f t="shared" si="2"/>
        <v>0</v>
      </c>
    </row>
    <row r="8" spans="2:23" ht="100.05" customHeight="1" x14ac:dyDescent="0.45">
      <c r="B8" s="173" t="s">
        <v>71</v>
      </c>
      <c r="C8" s="146"/>
      <c r="D8" s="177">
        <v>10</v>
      </c>
      <c r="E8" s="177" t="s">
        <v>72</v>
      </c>
      <c r="F8" s="178">
        <v>76.25</v>
      </c>
      <c r="G8" s="216"/>
      <c r="H8" s="217"/>
      <c r="I8" s="218"/>
      <c r="J8" s="219"/>
      <c r="K8" s="220"/>
      <c r="L8" s="221"/>
      <c r="M8" s="222"/>
      <c r="N8" s="223"/>
      <c r="O8" s="224"/>
      <c r="P8" s="225"/>
      <c r="Q8" s="226"/>
      <c r="R8" s="227"/>
      <c r="S8" s="228"/>
      <c r="T8" s="179">
        <f>SUM(G8:S8)</f>
        <v>0</v>
      </c>
      <c r="U8" s="179">
        <f>D8*T8</f>
        <v>0</v>
      </c>
      <c r="V8" s="180">
        <f>T8*1</f>
        <v>0</v>
      </c>
      <c r="W8" s="199">
        <f>F8*T8</f>
        <v>0</v>
      </c>
    </row>
    <row r="9" spans="2:23" ht="100.05" customHeight="1" x14ac:dyDescent="0.45">
      <c r="B9" s="154" t="s">
        <v>64</v>
      </c>
      <c r="C9" s="151"/>
      <c r="D9" s="159">
        <v>10</v>
      </c>
      <c r="E9" s="159" t="s">
        <v>48</v>
      </c>
      <c r="F9" s="160">
        <v>176.25</v>
      </c>
      <c r="G9" s="216"/>
      <c r="H9" s="217"/>
      <c r="I9" s="218"/>
      <c r="J9" s="219"/>
      <c r="K9" s="220"/>
      <c r="L9" s="221"/>
      <c r="M9" s="222"/>
      <c r="N9" s="223"/>
      <c r="O9" s="224"/>
      <c r="P9" s="225"/>
      <c r="Q9" s="226"/>
      <c r="R9" s="227"/>
      <c r="S9" s="228"/>
      <c r="T9" s="167">
        <f t="shared" si="0"/>
        <v>0</v>
      </c>
      <c r="U9" s="167">
        <f t="shared" si="1"/>
        <v>0</v>
      </c>
      <c r="V9" s="182">
        <f>T9*3.1</f>
        <v>0</v>
      </c>
      <c r="W9" s="198">
        <f t="shared" si="2"/>
        <v>0</v>
      </c>
    </row>
    <row r="10" spans="2:23" ht="100.05" customHeight="1" x14ac:dyDescent="0.45">
      <c r="B10" s="173" t="s">
        <v>73</v>
      </c>
      <c r="C10" s="146"/>
      <c r="D10" s="177">
        <v>5</v>
      </c>
      <c r="E10" s="177" t="s">
        <v>74</v>
      </c>
      <c r="F10" s="178">
        <v>68.75</v>
      </c>
      <c r="G10" s="216"/>
      <c r="H10" s="217"/>
      <c r="I10" s="218"/>
      <c r="J10" s="219"/>
      <c r="K10" s="220"/>
      <c r="L10" s="221"/>
      <c r="M10" s="222"/>
      <c r="N10" s="223"/>
      <c r="O10" s="224"/>
      <c r="P10" s="225"/>
      <c r="Q10" s="226"/>
      <c r="R10" s="227"/>
      <c r="S10" s="228"/>
      <c r="T10" s="179">
        <f>SUM(G10:S10)</f>
        <v>0</v>
      </c>
      <c r="U10" s="179">
        <f>D10*T10</f>
        <v>0</v>
      </c>
      <c r="V10" s="180">
        <f>T10*1.13</f>
        <v>0</v>
      </c>
      <c r="W10" s="199">
        <f>F10*T10</f>
        <v>0</v>
      </c>
    </row>
    <row r="11" spans="2:23" ht="100.05" customHeight="1" x14ac:dyDescent="0.45">
      <c r="B11" s="154" t="s">
        <v>77</v>
      </c>
      <c r="C11" s="151"/>
      <c r="D11" s="159">
        <v>5</v>
      </c>
      <c r="E11" s="159" t="s">
        <v>49</v>
      </c>
      <c r="F11" s="160">
        <v>221.25</v>
      </c>
      <c r="G11" s="216"/>
      <c r="H11" s="217"/>
      <c r="I11" s="218"/>
      <c r="J11" s="219"/>
      <c r="K11" s="220"/>
      <c r="L11" s="221"/>
      <c r="M11" s="222"/>
      <c r="N11" s="223"/>
      <c r="O11" s="224"/>
      <c r="P11" s="225"/>
      <c r="Q11" s="226"/>
      <c r="R11" s="227"/>
      <c r="S11" s="228"/>
      <c r="T11" s="167">
        <f t="shared" si="0"/>
        <v>0</v>
      </c>
      <c r="U11" s="167">
        <f t="shared" si="1"/>
        <v>0</v>
      </c>
      <c r="V11" s="182">
        <f>T11*4.25</f>
        <v>0</v>
      </c>
      <c r="W11" s="198">
        <f t="shared" si="2"/>
        <v>0</v>
      </c>
    </row>
    <row r="12" spans="2:23" ht="100.05" customHeight="1" x14ac:dyDescent="0.45">
      <c r="B12" s="155" t="s">
        <v>76</v>
      </c>
      <c r="C12" s="148"/>
      <c r="D12" s="161">
        <v>5</v>
      </c>
      <c r="E12" s="161" t="s">
        <v>75</v>
      </c>
      <c r="F12" s="162"/>
      <c r="G12" s="216"/>
      <c r="H12" s="217"/>
      <c r="I12" s="218"/>
      <c r="J12" s="219"/>
      <c r="K12" s="220"/>
      <c r="L12" s="221"/>
      <c r="M12" s="222"/>
      <c r="N12" s="223"/>
      <c r="O12" s="224"/>
      <c r="P12" s="225"/>
      <c r="Q12" s="226"/>
      <c r="R12" s="227"/>
      <c r="S12" s="228"/>
      <c r="T12" s="169">
        <f>SUM(G12:S12)</f>
        <v>0</v>
      </c>
      <c r="U12" s="169">
        <f>D12*T12</f>
        <v>0</v>
      </c>
      <c r="V12" s="200"/>
      <c r="W12" s="201">
        <f>F12*T12</f>
        <v>0</v>
      </c>
    </row>
    <row r="13" spans="2:23" ht="100.05" customHeight="1" x14ac:dyDescent="0.45">
      <c r="B13" s="155" t="s">
        <v>78</v>
      </c>
      <c r="C13" s="148"/>
      <c r="D13" s="161">
        <v>5</v>
      </c>
      <c r="E13" s="161" t="s">
        <v>79</v>
      </c>
      <c r="F13" s="162"/>
      <c r="G13" s="216"/>
      <c r="H13" s="217"/>
      <c r="I13" s="218"/>
      <c r="J13" s="219"/>
      <c r="K13" s="220"/>
      <c r="L13" s="221"/>
      <c r="M13" s="222"/>
      <c r="N13" s="223"/>
      <c r="O13" s="224"/>
      <c r="P13" s="225"/>
      <c r="Q13" s="226"/>
      <c r="R13" s="227"/>
      <c r="S13" s="228"/>
      <c r="T13" s="169">
        <f>SUM(G13:S13)</f>
        <v>0</v>
      </c>
      <c r="U13" s="169">
        <f>D13*T13</f>
        <v>0</v>
      </c>
      <c r="V13" s="200"/>
      <c r="W13" s="201">
        <f>F13*T13</f>
        <v>0</v>
      </c>
    </row>
    <row r="14" spans="2:23" ht="100.05" customHeight="1" x14ac:dyDescent="0.45">
      <c r="B14" s="154" t="s">
        <v>80</v>
      </c>
      <c r="C14" s="151"/>
      <c r="D14" s="159">
        <v>10</v>
      </c>
      <c r="E14" s="159" t="s">
        <v>50</v>
      </c>
      <c r="F14" s="160">
        <v>122.5</v>
      </c>
      <c r="G14" s="216"/>
      <c r="H14" s="217"/>
      <c r="I14" s="218"/>
      <c r="J14" s="219"/>
      <c r="K14" s="268"/>
      <c r="L14" s="221"/>
      <c r="M14" s="222"/>
      <c r="N14" s="223"/>
      <c r="O14" s="224"/>
      <c r="P14" s="225"/>
      <c r="Q14" s="226"/>
      <c r="R14" s="227"/>
      <c r="S14" s="228"/>
      <c r="T14" s="167">
        <f t="shared" si="0"/>
        <v>0</v>
      </c>
      <c r="U14" s="167">
        <f t="shared" si="1"/>
        <v>0</v>
      </c>
      <c r="V14" s="182">
        <f>T14*1.86</f>
        <v>0</v>
      </c>
      <c r="W14" s="198">
        <f t="shared" si="2"/>
        <v>0</v>
      </c>
    </row>
    <row r="15" spans="2:23" ht="100.05" customHeight="1" x14ac:dyDescent="0.45">
      <c r="B15" s="173" t="s">
        <v>81</v>
      </c>
      <c r="C15" s="146"/>
      <c r="D15" s="177">
        <v>10</v>
      </c>
      <c r="E15" s="177" t="s">
        <v>82</v>
      </c>
      <c r="F15" s="178">
        <v>135</v>
      </c>
      <c r="G15" s="216"/>
      <c r="H15" s="217"/>
      <c r="I15" s="218"/>
      <c r="J15" s="219"/>
      <c r="K15" s="268"/>
      <c r="L15" s="221"/>
      <c r="M15" s="222"/>
      <c r="N15" s="223"/>
      <c r="O15" s="224"/>
      <c r="P15" s="225"/>
      <c r="Q15" s="226"/>
      <c r="R15" s="227"/>
      <c r="S15" s="228"/>
      <c r="T15" s="179">
        <f>SUM(G15:S15)</f>
        <v>0</v>
      </c>
      <c r="U15" s="179">
        <f>D15*T15</f>
        <v>0</v>
      </c>
      <c r="V15" s="180">
        <f>T15*2.2</f>
        <v>0</v>
      </c>
      <c r="W15" s="199">
        <f>F15*T15</f>
        <v>0</v>
      </c>
    </row>
    <row r="16" spans="2:23" ht="100.05" customHeight="1" x14ac:dyDescent="0.45">
      <c r="B16" s="173" t="s">
        <v>83</v>
      </c>
      <c r="C16" s="146"/>
      <c r="D16" s="177">
        <v>10</v>
      </c>
      <c r="E16" s="177" t="s">
        <v>84</v>
      </c>
      <c r="F16" s="178">
        <v>173.75</v>
      </c>
      <c r="G16" s="216"/>
      <c r="H16" s="217"/>
      <c r="I16" s="218"/>
      <c r="J16" s="219"/>
      <c r="K16" s="268"/>
      <c r="L16" s="221"/>
      <c r="M16" s="222"/>
      <c r="N16" s="223"/>
      <c r="O16" s="224"/>
      <c r="P16" s="225"/>
      <c r="Q16" s="226"/>
      <c r="R16" s="227"/>
      <c r="S16" s="228"/>
      <c r="T16" s="179">
        <f>SUM(G16:S16)</f>
        <v>0</v>
      </c>
      <c r="U16" s="179">
        <f>D16*T16</f>
        <v>0</v>
      </c>
      <c r="V16" s="180">
        <f>T16*3</f>
        <v>0</v>
      </c>
      <c r="W16" s="199">
        <f>F16*T16</f>
        <v>0</v>
      </c>
    </row>
    <row r="17" spans="2:23" ht="100.05" customHeight="1" x14ac:dyDescent="0.45">
      <c r="B17" s="173" t="s">
        <v>85</v>
      </c>
      <c r="C17" s="146"/>
      <c r="D17" s="177">
        <v>10</v>
      </c>
      <c r="E17" s="177" t="s">
        <v>86</v>
      </c>
      <c r="F17" s="178">
        <v>175</v>
      </c>
      <c r="G17" s="216"/>
      <c r="H17" s="217"/>
      <c r="I17" s="218"/>
      <c r="J17" s="219"/>
      <c r="K17" s="268"/>
      <c r="L17" s="221"/>
      <c r="M17" s="222"/>
      <c r="N17" s="223"/>
      <c r="O17" s="224"/>
      <c r="P17" s="225"/>
      <c r="Q17" s="226"/>
      <c r="R17" s="227"/>
      <c r="S17" s="228"/>
      <c r="T17" s="179">
        <f>SUM(G17:S17)</f>
        <v>0</v>
      </c>
      <c r="U17" s="179">
        <f>D17*T17</f>
        <v>0</v>
      </c>
      <c r="V17" s="180">
        <f>T17*3.1</f>
        <v>0</v>
      </c>
      <c r="W17" s="199">
        <f>F17*T17</f>
        <v>0</v>
      </c>
    </row>
    <row r="18" spans="2:23" ht="100.05" customHeight="1" x14ac:dyDescent="0.45">
      <c r="B18" s="173" t="s">
        <v>87</v>
      </c>
      <c r="C18" s="146"/>
      <c r="D18" s="177">
        <v>10</v>
      </c>
      <c r="E18" s="177" t="s">
        <v>88</v>
      </c>
      <c r="F18" s="178">
        <v>200</v>
      </c>
      <c r="G18" s="216"/>
      <c r="H18" s="217"/>
      <c r="I18" s="218"/>
      <c r="J18" s="219"/>
      <c r="K18" s="268"/>
      <c r="L18" s="221"/>
      <c r="M18" s="222"/>
      <c r="N18" s="223"/>
      <c r="O18" s="224"/>
      <c r="P18" s="225"/>
      <c r="Q18" s="226"/>
      <c r="R18" s="227"/>
      <c r="S18" s="228"/>
      <c r="T18" s="179">
        <f>SUM(G18:S18)</f>
        <v>0</v>
      </c>
      <c r="U18" s="179">
        <f>D18*T18</f>
        <v>0</v>
      </c>
      <c r="V18" s="180">
        <f>T18*3.53</f>
        <v>0</v>
      </c>
      <c r="W18" s="199">
        <f>F18*T18</f>
        <v>0</v>
      </c>
    </row>
    <row r="19" spans="2:23" ht="100.05" customHeight="1" x14ac:dyDescent="0.45">
      <c r="B19" s="154" t="s">
        <v>65</v>
      </c>
      <c r="C19" s="151"/>
      <c r="D19" s="159">
        <v>10</v>
      </c>
      <c r="E19" s="159" t="s">
        <v>51</v>
      </c>
      <c r="F19" s="160">
        <v>243.75</v>
      </c>
      <c r="G19" s="216"/>
      <c r="H19" s="217"/>
      <c r="I19" s="218"/>
      <c r="J19" s="219"/>
      <c r="K19" s="268"/>
      <c r="L19" s="221"/>
      <c r="M19" s="222"/>
      <c r="N19" s="223"/>
      <c r="O19" s="224"/>
      <c r="P19" s="225"/>
      <c r="Q19" s="226"/>
      <c r="R19" s="227"/>
      <c r="S19" s="228"/>
      <c r="T19" s="167">
        <f t="shared" si="0"/>
        <v>0</v>
      </c>
      <c r="U19" s="167">
        <f t="shared" si="1"/>
        <v>0</v>
      </c>
      <c r="V19" s="182">
        <f>T19*2.49</f>
        <v>0</v>
      </c>
      <c r="W19" s="198">
        <f t="shared" si="2"/>
        <v>0</v>
      </c>
    </row>
    <row r="20" spans="2:23" ht="100.05" customHeight="1" x14ac:dyDescent="0.45">
      <c r="B20" s="154" t="s">
        <v>41</v>
      </c>
      <c r="C20" s="151"/>
      <c r="D20" s="159">
        <v>10</v>
      </c>
      <c r="E20" s="159" t="s">
        <v>52</v>
      </c>
      <c r="F20" s="160">
        <v>312.5</v>
      </c>
      <c r="G20" s="216"/>
      <c r="H20" s="217"/>
      <c r="I20" s="218"/>
      <c r="J20" s="219"/>
      <c r="K20" s="268"/>
      <c r="L20" s="221"/>
      <c r="M20" s="222"/>
      <c r="N20" s="223"/>
      <c r="O20" s="224"/>
      <c r="P20" s="225"/>
      <c r="Q20" s="226"/>
      <c r="R20" s="227"/>
      <c r="S20" s="228"/>
      <c r="T20" s="167">
        <f t="shared" si="0"/>
        <v>0</v>
      </c>
      <c r="U20" s="167">
        <f t="shared" si="1"/>
        <v>0</v>
      </c>
      <c r="V20" s="182">
        <f>T20*4.42</f>
        <v>0</v>
      </c>
      <c r="W20" s="198">
        <f t="shared" si="2"/>
        <v>0</v>
      </c>
    </row>
    <row r="21" spans="2:23" ht="100.05" customHeight="1" x14ac:dyDescent="0.45">
      <c r="B21" s="154" t="s">
        <v>40</v>
      </c>
      <c r="C21" s="151"/>
      <c r="D21" s="159">
        <v>10</v>
      </c>
      <c r="E21" s="159" t="s">
        <v>53</v>
      </c>
      <c r="F21" s="160">
        <v>293.75</v>
      </c>
      <c r="G21" s="216"/>
      <c r="H21" s="217"/>
      <c r="I21" s="218"/>
      <c r="J21" s="219"/>
      <c r="K21" s="268"/>
      <c r="L21" s="221"/>
      <c r="M21" s="222"/>
      <c r="N21" s="223"/>
      <c r="O21" s="224"/>
      <c r="P21" s="225"/>
      <c r="Q21" s="226"/>
      <c r="R21" s="227"/>
      <c r="S21" s="228"/>
      <c r="T21" s="167">
        <f t="shared" si="0"/>
        <v>0</v>
      </c>
      <c r="U21" s="167">
        <f t="shared" si="1"/>
        <v>0</v>
      </c>
      <c r="V21" s="182">
        <f>T21*3.4</f>
        <v>0</v>
      </c>
      <c r="W21" s="198">
        <f t="shared" si="2"/>
        <v>0</v>
      </c>
    </row>
    <row r="22" spans="2:23" ht="100.05" customHeight="1" x14ac:dyDescent="0.45">
      <c r="B22" s="173" t="s">
        <v>66</v>
      </c>
      <c r="C22" s="146"/>
      <c r="D22" s="177">
        <v>10</v>
      </c>
      <c r="E22" s="177" t="s">
        <v>54</v>
      </c>
      <c r="F22" s="178">
        <v>343.75</v>
      </c>
      <c r="G22" s="269"/>
      <c r="H22" s="217"/>
      <c r="I22" s="218"/>
      <c r="J22" s="219"/>
      <c r="K22" s="268"/>
      <c r="L22" s="221"/>
      <c r="M22" s="222"/>
      <c r="N22" s="223"/>
      <c r="O22" s="224"/>
      <c r="P22" s="225"/>
      <c r="Q22" s="226"/>
      <c r="R22" s="227"/>
      <c r="S22" s="228"/>
      <c r="T22" s="179">
        <f>G23+H22+I22+J22+K22+L22+M22+N22+O22+P22+Q22+R22+S22</f>
        <v>0</v>
      </c>
      <c r="U22" s="179">
        <f t="shared" si="1"/>
        <v>0</v>
      </c>
      <c r="V22" s="180">
        <f>T22*5.7</f>
        <v>0</v>
      </c>
      <c r="W22" s="199">
        <f t="shared" si="2"/>
        <v>0</v>
      </c>
    </row>
    <row r="23" spans="2:23" ht="100.05" customHeight="1" x14ac:dyDescent="0.45">
      <c r="B23" s="173" t="s">
        <v>42</v>
      </c>
      <c r="C23" s="146"/>
      <c r="D23" s="177">
        <v>5</v>
      </c>
      <c r="E23" s="177" t="s">
        <v>55</v>
      </c>
      <c r="F23" s="178">
        <v>250</v>
      </c>
      <c r="G23" s="216"/>
      <c r="H23" s="217"/>
      <c r="I23" s="218"/>
      <c r="J23" s="219"/>
      <c r="K23" s="220"/>
      <c r="L23" s="221"/>
      <c r="M23" s="222"/>
      <c r="N23" s="223"/>
      <c r="O23" s="224"/>
      <c r="P23" s="225"/>
      <c r="Q23" s="226"/>
      <c r="R23" s="227"/>
      <c r="S23" s="228"/>
      <c r="T23" s="179">
        <f>G23+H23+I23+J23+K23+L23+M23+N23+O23+P23+Q23+R23+S23</f>
        <v>0</v>
      </c>
      <c r="U23" s="179">
        <f t="shared" si="1"/>
        <v>0</v>
      </c>
      <c r="V23" s="180">
        <f>T23*2.4</f>
        <v>0</v>
      </c>
      <c r="W23" s="199">
        <f t="shared" si="2"/>
        <v>0</v>
      </c>
    </row>
    <row r="24" spans="2:23" ht="100.05" customHeight="1" x14ac:dyDescent="0.45">
      <c r="B24" s="173" t="s">
        <v>43</v>
      </c>
      <c r="C24" s="146"/>
      <c r="D24" s="177">
        <v>5</v>
      </c>
      <c r="E24" s="177" t="s">
        <v>56</v>
      </c>
      <c r="F24" s="178"/>
      <c r="G24" s="216"/>
      <c r="H24" s="217"/>
      <c r="I24" s="218"/>
      <c r="J24" s="219"/>
      <c r="K24" s="220"/>
      <c r="L24" s="221"/>
      <c r="M24" s="222"/>
      <c r="N24" s="223"/>
      <c r="O24" s="224"/>
      <c r="P24" s="225"/>
      <c r="Q24" s="226"/>
      <c r="R24" s="227"/>
      <c r="S24" s="228"/>
      <c r="T24" s="179">
        <f t="shared" si="0"/>
        <v>0</v>
      </c>
      <c r="U24" s="179">
        <f t="shared" si="1"/>
        <v>0</v>
      </c>
      <c r="V24" s="180"/>
      <c r="W24" s="199">
        <f t="shared" si="2"/>
        <v>0</v>
      </c>
    </row>
    <row r="25" spans="2:23" ht="100.05" customHeight="1" x14ac:dyDescent="0.45">
      <c r="B25" s="173" t="s">
        <v>44</v>
      </c>
      <c r="C25" s="146"/>
      <c r="D25" s="177">
        <v>5</v>
      </c>
      <c r="E25" s="177" t="s">
        <v>57</v>
      </c>
      <c r="F25" s="178"/>
      <c r="G25" s="216"/>
      <c r="H25" s="217"/>
      <c r="I25" s="218"/>
      <c r="J25" s="219"/>
      <c r="K25" s="220"/>
      <c r="L25" s="221"/>
      <c r="M25" s="222"/>
      <c r="N25" s="223"/>
      <c r="O25" s="224"/>
      <c r="P25" s="225"/>
      <c r="Q25" s="226"/>
      <c r="R25" s="227"/>
      <c r="S25" s="228"/>
      <c r="T25" s="179">
        <f t="shared" si="0"/>
        <v>0</v>
      </c>
      <c r="U25" s="179">
        <f t="shared" si="1"/>
        <v>0</v>
      </c>
      <c r="V25" s="180"/>
      <c r="W25" s="199">
        <f t="shared" si="2"/>
        <v>0</v>
      </c>
    </row>
    <row r="26" spans="2:23" ht="100.05" customHeight="1" x14ac:dyDescent="0.45">
      <c r="B26" s="173" t="s">
        <v>45</v>
      </c>
      <c r="C26" s="146"/>
      <c r="D26" s="177">
        <v>1</v>
      </c>
      <c r="E26" s="177" t="s">
        <v>58</v>
      </c>
      <c r="F26" s="178">
        <v>146</v>
      </c>
      <c r="G26" s="216"/>
      <c r="H26" s="217"/>
      <c r="I26" s="218"/>
      <c r="J26" s="219"/>
      <c r="K26" s="220"/>
      <c r="L26" s="221"/>
      <c r="M26" s="222"/>
      <c r="N26" s="223"/>
      <c r="O26" s="224"/>
      <c r="P26" s="225"/>
      <c r="Q26" s="226"/>
      <c r="R26" s="227"/>
      <c r="S26" s="228"/>
      <c r="T26" s="179">
        <f t="shared" si="0"/>
        <v>0</v>
      </c>
      <c r="U26" s="179">
        <f t="shared" si="1"/>
        <v>0</v>
      </c>
      <c r="V26" s="180">
        <f>T26*2.35</f>
        <v>0</v>
      </c>
      <c r="W26" s="199">
        <f t="shared" si="2"/>
        <v>0</v>
      </c>
    </row>
    <row r="27" spans="2:23" ht="100.05" customHeight="1" thickBot="1" x14ac:dyDescent="0.5">
      <c r="B27" s="156" t="s">
        <v>197</v>
      </c>
      <c r="C27" s="147"/>
      <c r="D27" s="163">
        <v>1</v>
      </c>
      <c r="E27" s="163" t="s">
        <v>198</v>
      </c>
      <c r="F27" s="164">
        <v>193</v>
      </c>
      <c r="G27" s="229"/>
      <c r="H27" s="230"/>
      <c r="I27" s="231"/>
      <c r="J27" s="232"/>
      <c r="K27" s="233"/>
      <c r="L27" s="234"/>
      <c r="M27" s="235"/>
      <c r="N27" s="236"/>
      <c r="O27" s="237"/>
      <c r="P27" s="238"/>
      <c r="Q27" s="239"/>
      <c r="R27" s="240"/>
      <c r="S27" s="241"/>
      <c r="T27" s="171">
        <f>SUM(G27:S27)</f>
        <v>0</v>
      </c>
      <c r="U27" s="171">
        <f t="shared" si="1"/>
        <v>0</v>
      </c>
      <c r="V27" s="171">
        <f>T27*3.23</f>
        <v>0</v>
      </c>
      <c r="W27" s="202">
        <f t="shared" si="2"/>
        <v>0</v>
      </c>
    </row>
    <row r="28" spans="2:23" x14ac:dyDescent="0.45">
      <c r="B28" s="68"/>
      <c r="C28" s="143"/>
      <c r="D28" s="68"/>
      <c r="E28" s="68"/>
      <c r="F28" s="43"/>
      <c r="G28" s="55">
        <f t="shared" ref="G28:W28" si="3">SUM(G5:G27)</f>
        <v>0</v>
      </c>
      <c r="H28" s="55">
        <f t="shared" si="3"/>
        <v>0</v>
      </c>
      <c r="I28" s="55">
        <f t="shared" si="3"/>
        <v>0</v>
      </c>
      <c r="J28" s="272">
        <f t="shared" si="3"/>
        <v>0</v>
      </c>
      <c r="K28" s="55">
        <f t="shared" si="3"/>
        <v>0</v>
      </c>
      <c r="L28" s="55">
        <f t="shared" si="3"/>
        <v>0</v>
      </c>
      <c r="M28" s="55">
        <f t="shared" si="3"/>
        <v>0</v>
      </c>
      <c r="N28" s="55">
        <f t="shared" si="3"/>
        <v>0</v>
      </c>
      <c r="O28" s="55">
        <f t="shared" si="3"/>
        <v>0</v>
      </c>
      <c r="P28" s="55">
        <f t="shared" si="3"/>
        <v>0</v>
      </c>
      <c r="Q28" s="55">
        <f t="shared" si="3"/>
        <v>0</v>
      </c>
      <c r="R28" s="55">
        <f t="shared" si="3"/>
        <v>0</v>
      </c>
      <c r="S28" s="55">
        <f t="shared" si="3"/>
        <v>0</v>
      </c>
      <c r="T28" s="55">
        <f t="shared" si="3"/>
        <v>0</v>
      </c>
      <c r="U28" s="55">
        <f t="shared" si="3"/>
        <v>0</v>
      </c>
      <c r="V28" s="55">
        <f t="shared" si="3"/>
        <v>0</v>
      </c>
      <c r="W28" s="72">
        <f t="shared" si="3"/>
        <v>0</v>
      </c>
    </row>
  </sheetData>
  <sheetProtection algorithmName="SHA-512" hashValue="TuhJCX3RTK5Jft/HkiXPbt5lHvqcyU4fTWPvBUhBx5UgUdBMuw7Iz64RmVZhDGBoFZXZi08iMSX/Z6H9ovV4Lg==" saltValue="o1aA+uybenH5wNrQlGnXSw==" spinCount="100000" sheet="1" objects="1" scenarios="1" selectLockedCells="1"/>
  <mergeCells count="1">
    <mergeCell ref="B2:D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LOAVES</vt:lpstr>
      <vt:lpstr>ROUGHLINE</vt:lpstr>
      <vt:lpstr>SMOOTHLINE</vt:lpstr>
      <vt:lpstr>TOTALS</vt:lpstr>
      <vt:lpstr>ECLIPSE</vt:lpstr>
      <vt:lpstr>FIBERGLASS</vt:lpstr>
      <vt:lpstr>DRIFTS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Watkins</dc:creator>
  <cp:lastModifiedBy>William Watkins</cp:lastModifiedBy>
  <cp:lastPrinted>2021-06-03T23:44:13Z</cp:lastPrinted>
  <dcterms:created xsi:type="dcterms:W3CDTF">2020-02-09T07:20:57Z</dcterms:created>
  <dcterms:modified xsi:type="dcterms:W3CDTF">2021-06-07T05:32:41Z</dcterms:modified>
</cp:coreProperties>
</file>